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0230" firstSheet="3" activeTab="3"/>
  </bookViews>
  <sheets>
    <sheet name="бюдж" sheetId="1" r:id="rId1"/>
    <sheet name="массивы" sheetId="2" r:id="rId2"/>
    <sheet name="внебюдж" sheetId="3" r:id="rId3"/>
    <sheet name="Бюджет" sheetId="4" r:id="rId4"/>
  </sheets>
  <definedNames>
    <definedName name="_xlnm._FilterDatabase" localSheetId="0" hidden="1">'бюдж'!$A$7:$T$68</definedName>
    <definedName name="_xlnm._FilterDatabase" localSheetId="2" hidden="1">'внебюдж'!$A$16:$T$96</definedName>
    <definedName name="_xlnm.Print_Area" localSheetId="0">'бюдж'!$A$1:$AF$79</definedName>
    <definedName name="_xlnm.Print_Area" localSheetId="2">'внебюдж'!$A$1:$O$101</definedName>
  </definedNames>
  <calcPr fullCalcOnLoad="1"/>
</workbook>
</file>

<file path=xl/sharedStrings.xml><?xml version="1.0" encoding="utf-8"?>
<sst xmlns="http://schemas.openxmlformats.org/spreadsheetml/2006/main" count="431" uniqueCount="230">
  <si>
    <t>УТВЕРЖДАЮ</t>
  </si>
  <si>
    <t>Директор колледжа____________________</t>
  </si>
  <si>
    <t>Федяев В. В.</t>
  </si>
  <si>
    <t>28 декабря 2007 года</t>
  </si>
  <si>
    <t>ШТАТНОЕ РАСПИСАНИЕ</t>
  </si>
  <si>
    <t>административно-управленческого, учебно-вспомогательного и прочего персонала</t>
  </si>
  <si>
    <t>на 1 января 2008 года ГОУ СПО Костромского торгово-экономического колледжа</t>
  </si>
  <si>
    <t>Наименование должностей</t>
  </si>
  <si>
    <t>Кол-во штатных единиц</t>
  </si>
  <si>
    <t>Разряд по ЕТС</t>
  </si>
  <si>
    <t>Должност-ной оклад (руб)</t>
  </si>
  <si>
    <t>Надбавки</t>
  </si>
  <si>
    <t>Месячный ФЗП без надбавок и доплат (руб)</t>
  </si>
  <si>
    <t>Месячный ФЗП с надбавками и доплатами (руб)</t>
  </si>
  <si>
    <t>Персональ-ная (руб)</t>
  </si>
  <si>
    <t>Стимулирующая надбавка 15 % от ставки</t>
  </si>
  <si>
    <t>Военко-мат, ночные, класс-</t>
  </si>
  <si>
    <t>ность</t>
  </si>
  <si>
    <t>за колледж</t>
  </si>
  <si>
    <t>Районный коэффи-циент (руб)</t>
  </si>
  <si>
    <t>Прочие (руб)</t>
  </si>
  <si>
    <t>Итого:</t>
  </si>
  <si>
    <t>Прочий персонал</t>
  </si>
  <si>
    <t>ВСЕГО:</t>
  </si>
  <si>
    <t>Главный бухгалтер</t>
  </si>
  <si>
    <t>Методист заочного отделения</t>
  </si>
  <si>
    <t>Инженер по технике безопасности</t>
  </si>
  <si>
    <t>Федяев В.В.</t>
  </si>
  <si>
    <t>Смирнова Н.И.</t>
  </si>
  <si>
    <t>Перминова В.В.</t>
  </si>
  <si>
    <t>Романовский А.М.</t>
  </si>
  <si>
    <t>Боровистова А.А.</t>
  </si>
  <si>
    <t>Пешев</t>
  </si>
  <si>
    <t>Габибова</t>
  </si>
  <si>
    <t>Смирнова Л.Н.</t>
  </si>
  <si>
    <t>Горчагова</t>
  </si>
  <si>
    <t>Джиоева В.Н.</t>
  </si>
  <si>
    <t>Белякова Л.В.</t>
  </si>
  <si>
    <t>Волгина Н.Н.</t>
  </si>
  <si>
    <t>Корсакова Т.Б.</t>
  </si>
  <si>
    <t>Смирнова А.Г.</t>
  </si>
  <si>
    <t>Иванова Н.В.</t>
  </si>
  <si>
    <t>Куликова Г.А.</t>
  </si>
  <si>
    <t>Волкова Л.С.</t>
  </si>
  <si>
    <t>Алексеев</t>
  </si>
  <si>
    <t>Арсенина Е.В.</t>
  </si>
  <si>
    <t>Зав. отделением ДОУ</t>
  </si>
  <si>
    <t>Гущина</t>
  </si>
  <si>
    <t>Иванова В.С</t>
  </si>
  <si>
    <t xml:space="preserve">Котова </t>
  </si>
  <si>
    <t>Егоров</t>
  </si>
  <si>
    <t>Степаненко</t>
  </si>
  <si>
    <t>Тарасов, Филина</t>
  </si>
  <si>
    <t>Социальный педагог</t>
  </si>
  <si>
    <t>Махова В.И.</t>
  </si>
  <si>
    <t>Методист</t>
  </si>
  <si>
    <t xml:space="preserve">Пучков </t>
  </si>
  <si>
    <t>Ефимова 0,5, Лапшина 10 р-д</t>
  </si>
  <si>
    <t>Кислякова (совм)</t>
  </si>
  <si>
    <t>Гулюгина</t>
  </si>
  <si>
    <t>Утюпина</t>
  </si>
  <si>
    <t>Инженер-электрик</t>
  </si>
  <si>
    <t>Сайкин</t>
  </si>
  <si>
    <t>Куликова 0,5</t>
  </si>
  <si>
    <t>Гаганова 1,5</t>
  </si>
  <si>
    <t>Совновскина, Миронова, Муравьева, Ипатов С.В.</t>
  </si>
  <si>
    <t>Джиоев М.В.</t>
  </si>
  <si>
    <t>Ильина, Романовская, Алешина, Забродина, Данилова</t>
  </si>
  <si>
    <t>Столяр-плотник</t>
  </si>
  <si>
    <t>Резванов</t>
  </si>
  <si>
    <t>Слесарь-сантехник</t>
  </si>
  <si>
    <t>Виноградова</t>
  </si>
  <si>
    <t>Михаелян, Шумлянский</t>
  </si>
  <si>
    <t>Кошева, Стоянова</t>
  </si>
  <si>
    <t>за расширение зоны обслуживания</t>
  </si>
  <si>
    <t>Алексеев 0,5</t>
  </si>
  <si>
    <t>Зотов 10 р-д</t>
  </si>
  <si>
    <t>Лебедева Ю.В. 12 р-д</t>
  </si>
  <si>
    <t>Пучков 13 р-д</t>
  </si>
  <si>
    <t>Кравченко В.В. 13 р-д</t>
  </si>
  <si>
    <t>1. Административно-управленческий персонал:</t>
  </si>
  <si>
    <t>№ пп</t>
  </si>
  <si>
    <t>Директор</t>
  </si>
  <si>
    <t>Зам. директора по УР (заслуженный учитель)</t>
  </si>
  <si>
    <t>Зам. директора по УВР</t>
  </si>
  <si>
    <t>Зам. директора по АХР</t>
  </si>
  <si>
    <t>Зам директора по научно-методической работе</t>
  </si>
  <si>
    <t>Зав. торгово-юридическим отделением</t>
  </si>
  <si>
    <t>Зав. механико-технологическим отделением</t>
  </si>
  <si>
    <t>Зав. заочным отделением (кандидат наук)</t>
  </si>
  <si>
    <t>Зав. УПМ</t>
  </si>
  <si>
    <t>Зав.библиотекой</t>
  </si>
  <si>
    <t>Зав.канцелярией</t>
  </si>
  <si>
    <t>Зав. учебно-производственной практикой</t>
  </si>
  <si>
    <t>Зам. главного бухгалтера</t>
  </si>
  <si>
    <t>Бухгалтер</t>
  </si>
  <si>
    <t>Кассир</t>
  </si>
  <si>
    <t>Инспектор по кадрам</t>
  </si>
  <si>
    <t>Зав. складом</t>
  </si>
  <si>
    <t>Комендант учебных корпусов</t>
  </si>
  <si>
    <t>Паспортистка</t>
  </si>
  <si>
    <t>Агент по снабжению</t>
  </si>
  <si>
    <t>Комендант</t>
  </si>
  <si>
    <t>Референт</t>
  </si>
  <si>
    <t>2. Учебно-вспомогательный персонал</t>
  </si>
  <si>
    <t>Руководитель физвоспитания (заслуженный учитель)</t>
  </si>
  <si>
    <t>Мастер производственного обучения</t>
  </si>
  <si>
    <t>Зав.лабораторией</t>
  </si>
  <si>
    <t>Воспитатель</t>
  </si>
  <si>
    <t>Лаборант</t>
  </si>
  <si>
    <t>Секретарь учебной части (диспетчер)</t>
  </si>
  <si>
    <t>Техник</t>
  </si>
  <si>
    <t>Библиотекарь</t>
  </si>
  <si>
    <t>Ипатов Н.П., Калмыкова В.Б., Григорьева 0,5, Жемчужная 0,5, Феофелактова 0,5</t>
  </si>
  <si>
    <t>Кастелянша</t>
  </si>
  <si>
    <t>Гардеробщица</t>
  </si>
  <si>
    <t>Дежурный по общежитию</t>
  </si>
  <si>
    <t>Дворник</t>
  </si>
  <si>
    <t>Водитель</t>
  </si>
  <si>
    <t>Уборщица</t>
  </si>
  <si>
    <t>Машинистка</t>
  </si>
  <si>
    <t>Вахтер</t>
  </si>
  <si>
    <t>Рабочий по обсл. зданий</t>
  </si>
  <si>
    <t>ИТОГО</t>
  </si>
  <si>
    <t>Хранитель музея</t>
  </si>
  <si>
    <t>Анохина</t>
  </si>
  <si>
    <t>Зам. директора по ДОУ</t>
  </si>
  <si>
    <t>доплаты, надбавки и повышения, носящие обязательный характер</t>
  </si>
  <si>
    <t>доплаты надбавки стимулирующего характера, премии, материальная помощь</t>
  </si>
  <si>
    <t xml:space="preserve"> Лапшина 10 р-д</t>
  </si>
  <si>
    <t>Ефимова 0,5</t>
  </si>
  <si>
    <t>лаборант</t>
  </si>
  <si>
    <t xml:space="preserve"> Григорьева 0,5, Жемчужная 0,5, Феофелактова 0,5</t>
  </si>
  <si>
    <t>Ипатов Н.П.</t>
  </si>
  <si>
    <t xml:space="preserve"> Калмыкова В.Б.</t>
  </si>
  <si>
    <t xml:space="preserve">Совновскина, Миронова, Муравьева, </t>
  </si>
  <si>
    <t>Ипатов С.В.</t>
  </si>
  <si>
    <t>Тарасов</t>
  </si>
  <si>
    <t>Филина</t>
  </si>
  <si>
    <t>Столовая</t>
  </si>
  <si>
    <t>зав. Производством</t>
  </si>
  <si>
    <t>повар</t>
  </si>
  <si>
    <t>Кораблева М.О.</t>
  </si>
  <si>
    <t>Кузнецова М.Ф.</t>
  </si>
  <si>
    <t>Паутова Е.В.</t>
  </si>
  <si>
    <t>Смирнова Л.С</t>
  </si>
  <si>
    <t>Ширкина И.В.</t>
  </si>
  <si>
    <t>Кукушкина Л.Б.</t>
  </si>
  <si>
    <t>Ермолаева А.Ф.</t>
  </si>
  <si>
    <t>Скворцова Т.А.</t>
  </si>
  <si>
    <t>бухгалтер-кассир</t>
  </si>
  <si>
    <t>буфетчица</t>
  </si>
  <si>
    <t>кухонная рабочая</t>
  </si>
  <si>
    <t>мойщица посуды</t>
  </si>
  <si>
    <t>надбавка</t>
  </si>
  <si>
    <t>оклад</t>
  </si>
  <si>
    <t>месячная</t>
  </si>
  <si>
    <t>годовая</t>
  </si>
  <si>
    <t>А</t>
  </si>
  <si>
    <t>группа</t>
  </si>
  <si>
    <t>уровень</t>
  </si>
  <si>
    <t>Инженер по охрене труда</t>
  </si>
  <si>
    <t>УВП 1</t>
  </si>
  <si>
    <t>коэффициент должности</t>
  </si>
  <si>
    <t>персональный коэффициент</t>
  </si>
  <si>
    <t>компенсационные выплаты</t>
  </si>
  <si>
    <t>стимулирующие выплаты</t>
  </si>
  <si>
    <t>коэффициент по структурному подразделению</t>
  </si>
  <si>
    <t>Обозначение</t>
  </si>
  <si>
    <t>УВП - учебно- вспомогательный персонал</t>
  </si>
  <si>
    <t>ПР - педагогические работники</t>
  </si>
  <si>
    <t>РСП - руководители структурных подразделений</t>
  </si>
  <si>
    <t>СЛ - служащие</t>
  </si>
  <si>
    <t>Р - рабочие</t>
  </si>
  <si>
    <t xml:space="preserve">УВП 1 </t>
  </si>
  <si>
    <t>ПР, 2 ур</t>
  </si>
  <si>
    <t>ПР, 3 ур</t>
  </si>
  <si>
    <t>ПР, 4 ур</t>
  </si>
  <si>
    <t>РСП, 1 ур</t>
  </si>
  <si>
    <t>СЛ 1, 1 ур</t>
  </si>
  <si>
    <t>СЛ 2, 1 ур</t>
  </si>
  <si>
    <t>СЛ 2, 2 ур</t>
  </si>
  <si>
    <t>СЛ 3, 1 ур</t>
  </si>
  <si>
    <t>СЛ 3, 5 ур</t>
  </si>
  <si>
    <t>Р 1, 1 ур</t>
  </si>
  <si>
    <t>Р 2, 1 ур</t>
  </si>
  <si>
    <t>заместители директора</t>
  </si>
  <si>
    <t>вакантны</t>
  </si>
  <si>
    <t>СЛ 1, 1</t>
  </si>
  <si>
    <t>Сл 2, 1</t>
  </si>
  <si>
    <t>Р 1, 1</t>
  </si>
  <si>
    <t>РСП 1</t>
  </si>
  <si>
    <t>СЛ 2, 2</t>
  </si>
  <si>
    <t>СЛ 3, 5</t>
  </si>
  <si>
    <t>СЛ 3, 1</t>
  </si>
  <si>
    <t>СЛ 2, 1</t>
  </si>
  <si>
    <t>ПР 3</t>
  </si>
  <si>
    <t>ПР 4</t>
  </si>
  <si>
    <t>ПР 2</t>
  </si>
  <si>
    <t>Р 2, 1</t>
  </si>
  <si>
    <t>базовый оклад</t>
  </si>
  <si>
    <t>фонд по окладу</t>
  </si>
  <si>
    <t>за расширения зон обслуж</t>
  </si>
  <si>
    <t>2 квалификационный уровень</t>
  </si>
  <si>
    <t>1 квалификационный уровень</t>
  </si>
  <si>
    <t xml:space="preserve">Итого </t>
  </si>
  <si>
    <t>Базовый оклад</t>
  </si>
  <si>
    <t>"Костромской торгово-экономический колледж"</t>
  </si>
  <si>
    <t>Сумма</t>
  </si>
  <si>
    <t>Должно-                            стной                  оклад</t>
  </si>
  <si>
    <t>Кд              по долж-ности</t>
  </si>
  <si>
    <t>Сумма должностных окладов</t>
  </si>
  <si>
    <t>УТВЕРЖДЕНО:</t>
  </si>
  <si>
    <t>ПКГ  должностей руководителей структурных подразделений (Приказ Министерства здравоохранения и социального развития РФ от 05 мая 2008 года № 216н)</t>
  </si>
  <si>
    <t>ПКГ "Общеотраслевые должности служащих второго уровня" (Приказ Министерства здравоохранения и социального развития РФ от 29 мая 2008 года № 247н)</t>
  </si>
  <si>
    <t>ПКГ "Общеотраслевые профессии рабочих первого уровня" (Приказ Министерства здравоохранения и социального развития РФ от 29 мая 2008 года № 248н)</t>
  </si>
  <si>
    <t xml:space="preserve">Лаборант </t>
  </si>
  <si>
    <t xml:space="preserve">областного государственного бюджетного                                                                                                                                                           профессионального образовательного учреждения </t>
  </si>
  <si>
    <t>Приказом ОГБПОУ  "Костромской торгово-  экономический колледж"</t>
  </si>
  <si>
    <t xml:space="preserve">с 1 июня 2020 года </t>
  </si>
  <si>
    <t>Заведующий мастерскими</t>
  </si>
  <si>
    <t>Уборщик служебных помещений 2 разряда</t>
  </si>
  <si>
    <t>Выплаты стимулирующего характера</t>
  </si>
  <si>
    <t>За интенсивность</t>
  </si>
  <si>
    <t>За качество выподняемых работ</t>
  </si>
  <si>
    <t>Персональная надбавка</t>
  </si>
  <si>
    <t>от 19 мая 2020 года № 163 /п</t>
  </si>
  <si>
    <t>за стаж работы</t>
  </si>
  <si>
    <t>Главный бухгалтер                                            В.Н.Джиоева</t>
  </si>
  <si>
    <t>ШТАТНОЕ  РАСПИСАНИЕ МАСТЕРСКИХ                                                                                                                                                            по направлению "Сфера услуг"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</si>
</sst>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[$-FC19]d\ mmmm\ yyyy\ &quot;г.&quot;"/>
    <numFmt numFmtId="181" formatCode="#,##0.00&quot;р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0" fillId="34" borderId="13" xfId="0" applyFont="1" applyFill="1" applyBorder="1" applyAlignment="1">
      <alignment/>
    </xf>
    <xf numFmtId="0" fontId="7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0" fillId="34" borderId="13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0" fillId="0" borderId="0" xfId="0" applyAlignment="1">
      <alignment wrapText="1"/>
    </xf>
    <xf numFmtId="0" fontId="1" fillId="33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1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35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35" borderId="12" xfId="0" applyNumberFormat="1" applyFont="1" applyFill="1" applyBorder="1" applyAlignment="1">
      <alignment/>
    </xf>
    <xf numFmtId="178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2" fontId="1" fillId="36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10" borderId="12" xfId="0" applyFont="1" applyFill="1" applyBorder="1" applyAlignment="1">
      <alignment wrapText="1"/>
    </xf>
    <xf numFmtId="1" fontId="2" fillId="10" borderId="12" xfId="0" applyNumberFormat="1" applyFont="1" applyFill="1" applyBorder="1" applyAlignment="1">
      <alignment horizontal="center"/>
    </xf>
    <xf numFmtId="2" fontId="2" fillId="1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10" borderId="17" xfId="0" applyFont="1" applyFill="1" applyBorder="1" applyAlignment="1">
      <alignment horizontal="left" wrapText="1"/>
    </xf>
    <xf numFmtId="0" fontId="11" fillId="1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"/>
  <sheetViews>
    <sheetView zoomScalePageLayoutView="0" workbookViewId="0" topLeftCell="A51">
      <selection activeCell="A1" sqref="A1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7.00390625" style="0" customWidth="1"/>
    <col min="4" max="4" width="11.125" style="0" customWidth="1"/>
    <col min="5" max="5" width="10.375" style="0" customWidth="1"/>
    <col min="7" max="7" width="10.125" style="0" customWidth="1"/>
    <col min="8" max="8" width="12.375" style="0" customWidth="1"/>
    <col min="12" max="12" width="9.875" style="0" customWidth="1"/>
    <col min="13" max="13" width="11.00390625" style="0" customWidth="1"/>
    <col min="14" max="14" width="11.375" style="0" customWidth="1"/>
    <col min="15" max="15" width="32.875" style="0" customWidth="1"/>
  </cols>
  <sheetData>
    <row r="1" ht="15.75">
      <c r="A1" s="3"/>
    </row>
    <row r="2" spans="1:32" ht="13.5" customHeight="1">
      <c r="A2" s="90" t="s">
        <v>81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/>
      <c r="H2" s="90"/>
      <c r="I2" s="90"/>
      <c r="J2" s="90"/>
      <c r="K2" s="90"/>
      <c r="L2" s="90"/>
      <c r="M2" s="90" t="s">
        <v>12</v>
      </c>
      <c r="N2" s="90" t="s">
        <v>13</v>
      </c>
      <c r="O2" s="35"/>
      <c r="P2" s="91" t="s">
        <v>159</v>
      </c>
      <c r="Q2" s="91" t="s">
        <v>160</v>
      </c>
      <c r="R2" s="79" t="s">
        <v>200</v>
      </c>
      <c r="S2" s="79" t="s">
        <v>201</v>
      </c>
      <c r="T2" s="87" t="s">
        <v>163</v>
      </c>
      <c r="U2" s="87" t="s">
        <v>164</v>
      </c>
      <c r="V2" s="87" t="s">
        <v>167</v>
      </c>
      <c r="W2" s="82" t="s">
        <v>165</v>
      </c>
      <c r="X2" s="83"/>
      <c r="Y2" s="83"/>
      <c r="Z2" s="84"/>
      <c r="AA2" s="82" t="s">
        <v>166</v>
      </c>
      <c r="AB2" s="83"/>
      <c r="AC2" s="83"/>
      <c r="AD2" s="83"/>
      <c r="AE2" s="84"/>
      <c r="AF2" s="7"/>
    </row>
    <row r="3" spans="1:32" ht="48" customHeight="1">
      <c r="A3" s="90"/>
      <c r="B3" s="90"/>
      <c r="C3" s="90"/>
      <c r="D3" s="90"/>
      <c r="E3" s="90"/>
      <c r="F3" s="90" t="s">
        <v>14</v>
      </c>
      <c r="G3" s="90" t="s">
        <v>15</v>
      </c>
      <c r="H3" s="34" t="s">
        <v>16</v>
      </c>
      <c r="I3" s="36">
        <v>0.15</v>
      </c>
      <c r="J3" s="90" t="s">
        <v>19</v>
      </c>
      <c r="K3" s="90" t="s">
        <v>74</v>
      </c>
      <c r="L3" s="90" t="s">
        <v>20</v>
      </c>
      <c r="M3" s="90"/>
      <c r="N3" s="90"/>
      <c r="O3" s="35"/>
      <c r="P3" s="91"/>
      <c r="Q3" s="91"/>
      <c r="R3" s="80"/>
      <c r="S3" s="80"/>
      <c r="T3" s="88"/>
      <c r="U3" s="88"/>
      <c r="V3" s="88"/>
      <c r="W3" s="87" t="s">
        <v>202</v>
      </c>
      <c r="X3" s="87"/>
      <c r="Y3" s="87"/>
      <c r="Z3" s="87"/>
      <c r="AA3" s="85"/>
      <c r="AB3" s="85"/>
      <c r="AC3" s="85"/>
      <c r="AD3" s="85"/>
      <c r="AE3" s="85"/>
      <c r="AF3" s="85"/>
    </row>
    <row r="4" spans="1:32" ht="12.75">
      <c r="A4" s="90"/>
      <c r="B4" s="90"/>
      <c r="C4" s="90"/>
      <c r="D4" s="90"/>
      <c r="E4" s="90"/>
      <c r="F4" s="90"/>
      <c r="G4" s="90"/>
      <c r="H4" s="34" t="s">
        <v>17</v>
      </c>
      <c r="I4" s="34" t="s">
        <v>18</v>
      </c>
      <c r="J4" s="90"/>
      <c r="K4" s="90"/>
      <c r="L4" s="90"/>
      <c r="M4" s="90"/>
      <c r="N4" s="90"/>
      <c r="O4" s="35"/>
      <c r="P4" s="91"/>
      <c r="Q4" s="91"/>
      <c r="R4" s="81"/>
      <c r="S4" s="81"/>
      <c r="T4" s="89"/>
      <c r="U4" s="89"/>
      <c r="V4" s="89"/>
      <c r="W4" s="88"/>
      <c r="X4" s="88"/>
      <c r="Y4" s="88"/>
      <c r="Z4" s="88"/>
      <c r="AA4" s="86"/>
      <c r="AB4" s="86"/>
      <c r="AC4" s="86"/>
      <c r="AD4" s="86"/>
      <c r="AE4" s="86"/>
      <c r="AF4" s="86"/>
    </row>
    <row r="5" spans="1:32" s="33" customFormat="1" ht="12.7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54"/>
      <c r="P5" s="54">
        <v>3</v>
      </c>
      <c r="Q5" s="54">
        <v>4</v>
      </c>
      <c r="R5" s="54">
        <v>5</v>
      </c>
      <c r="S5" s="54"/>
      <c r="T5" s="54">
        <v>6</v>
      </c>
      <c r="U5" s="54">
        <v>7</v>
      </c>
      <c r="V5" s="54">
        <v>8</v>
      </c>
      <c r="W5" s="54">
        <v>9</v>
      </c>
      <c r="X5" s="54">
        <v>10</v>
      </c>
      <c r="Y5" s="54">
        <v>11</v>
      </c>
      <c r="Z5" s="54">
        <v>12</v>
      </c>
      <c r="AA5" s="54">
        <v>13</v>
      </c>
      <c r="AB5" s="54">
        <v>14</v>
      </c>
      <c r="AC5" s="54">
        <v>15</v>
      </c>
      <c r="AD5" s="54">
        <v>16</v>
      </c>
      <c r="AE5" s="54">
        <v>17</v>
      </c>
      <c r="AF5" s="54">
        <v>18</v>
      </c>
    </row>
    <row r="6" spans="1:32" s="9" customFormat="1" ht="39.75" customHeight="1">
      <c r="A6" s="93" t="s">
        <v>80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9" customFormat="1" ht="15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30" customHeight="1">
      <c r="A8" s="7">
        <v>1</v>
      </c>
      <c r="B8" s="39" t="s">
        <v>82</v>
      </c>
      <c r="C8" s="40">
        <v>1</v>
      </c>
      <c r="D8" s="40">
        <v>16</v>
      </c>
      <c r="E8" s="41">
        <v>3979.24</v>
      </c>
      <c r="F8" s="41">
        <v>5173.01</v>
      </c>
      <c r="G8" s="41">
        <v>596.89</v>
      </c>
      <c r="H8" s="41"/>
      <c r="I8" s="41"/>
      <c r="J8" s="41"/>
      <c r="K8" s="41"/>
      <c r="L8" s="41"/>
      <c r="M8" s="41">
        <f aca="true" t="shared" si="0" ref="M8:M35">E8</f>
        <v>3979.24</v>
      </c>
      <c r="N8" s="41">
        <f>E8+F8+G8+H8+I8+J8+K8+L8</f>
        <v>9749.14</v>
      </c>
      <c r="O8" s="7" t="s">
        <v>27</v>
      </c>
      <c r="P8" s="7" t="s">
        <v>158</v>
      </c>
      <c r="Q8" s="7"/>
      <c r="R8" s="7"/>
      <c r="S8" s="7">
        <f>R8*C8</f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30" customHeight="1">
      <c r="A9" s="7">
        <v>2</v>
      </c>
      <c r="B9" s="39" t="s">
        <v>83</v>
      </c>
      <c r="C9" s="40">
        <v>1</v>
      </c>
      <c r="D9" s="40">
        <v>16</v>
      </c>
      <c r="E9" s="41">
        <v>3979.24</v>
      </c>
      <c r="F9" s="41"/>
      <c r="G9" s="41">
        <v>596.89</v>
      </c>
      <c r="H9" s="41"/>
      <c r="I9" s="41"/>
      <c r="J9" s="41"/>
      <c r="K9" s="41"/>
      <c r="L9" s="41"/>
      <c r="M9" s="41">
        <f t="shared" si="0"/>
        <v>3979.24</v>
      </c>
      <c r="N9" s="41">
        <f aca="true" t="shared" si="1" ref="N9:N35">E9+F9+G9+H9+I9+J9+K9+L9</f>
        <v>4576.13</v>
      </c>
      <c r="O9" s="7" t="s">
        <v>28</v>
      </c>
      <c r="P9" s="7" t="s">
        <v>158</v>
      </c>
      <c r="Q9" s="7"/>
      <c r="R9" s="7"/>
      <c r="S9" s="7">
        <f aca="true" t="shared" si="2" ref="S9:S67">R9*C9</f>
        <v>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30" customHeight="1">
      <c r="A10" s="7">
        <v>3</v>
      </c>
      <c r="B10" s="39" t="s">
        <v>84</v>
      </c>
      <c r="C10" s="40">
        <v>1</v>
      </c>
      <c r="D10" s="40">
        <v>15</v>
      </c>
      <c r="E10" s="41">
        <v>3706.96</v>
      </c>
      <c r="F10" s="41"/>
      <c r="G10" s="41">
        <v>556.04</v>
      </c>
      <c r="H10" s="41"/>
      <c r="I10" s="41"/>
      <c r="J10" s="41"/>
      <c r="K10" s="41"/>
      <c r="L10" s="41"/>
      <c r="M10" s="41">
        <f t="shared" si="0"/>
        <v>3706.96</v>
      </c>
      <c r="N10" s="41">
        <f t="shared" si="1"/>
        <v>4263</v>
      </c>
      <c r="O10" s="42" t="s">
        <v>78</v>
      </c>
      <c r="P10" s="7" t="s">
        <v>158</v>
      </c>
      <c r="Q10" s="7"/>
      <c r="R10" s="7"/>
      <c r="S10" s="7">
        <f t="shared" si="2"/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30" customHeight="1">
      <c r="A11" s="7">
        <v>4</v>
      </c>
      <c r="B11" s="39" t="s">
        <v>85</v>
      </c>
      <c r="C11" s="40">
        <v>1</v>
      </c>
      <c r="D11" s="40">
        <v>13</v>
      </c>
      <c r="E11" s="41">
        <v>3196.58</v>
      </c>
      <c r="F11" s="41"/>
      <c r="G11" s="41">
        <v>479.49</v>
      </c>
      <c r="H11" s="41"/>
      <c r="I11" s="41"/>
      <c r="J11" s="41"/>
      <c r="K11" s="41"/>
      <c r="L11" s="41"/>
      <c r="M11" s="41">
        <f t="shared" si="0"/>
        <v>3196.58</v>
      </c>
      <c r="N11" s="41">
        <f t="shared" si="1"/>
        <v>3676.0699999999997</v>
      </c>
      <c r="O11" s="7" t="s">
        <v>30</v>
      </c>
      <c r="P11" s="7" t="s">
        <v>158</v>
      </c>
      <c r="Q11" s="7"/>
      <c r="R11" s="7"/>
      <c r="S11" s="7">
        <f t="shared" si="2"/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30" customHeight="1">
      <c r="A12" s="7">
        <v>5</v>
      </c>
      <c r="B12" s="39" t="s">
        <v>126</v>
      </c>
      <c r="C12" s="40">
        <v>1</v>
      </c>
      <c r="D12" s="40">
        <v>13</v>
      </c>
      <c r="E12" s="41">
        <v>3196.58</v>
      </c>
      <c r="F12" s="41"/>
      <c r="G12" s="41">
        <v>479.49</v>
      </c>
      <c r="H12" s="41"/>
      <c r="I12" s="41"/>
      <c r="J12" s="41"/>
      <c r="K12" s="41"/>
      <c r="L12" s="41"/>
      <c r="M12" s="41">
        <f t="shared" si="0"/>
        <v>3196.58</v>
      </c>
      <c r="N12" s="41">
        <f t="shared" si="1"/>
        <v>3676.0699999999997</v>
      </c>
      <c r="O12" s="7" t="s">
        <v>29</v>
      </c>
      <c r="P12" s="7" t="s">
        <v>158</v>
      </c>
      <c r="Q12" s="7"/>
      <c r="R12" s="7"/>
      <c r="S12" s="7">
        <f t="shared" si="2"/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30" customHeight="1">
      <c r="A13" s="7">
        <v>6</v>
      </c>
      <c r="B13" s="39" t="s">
        <v>86</v>
      </c>
      <c r="C13" s="40">
        <v>1</v>
      </c>
      <c r="D13" s="40">
        <v>14</v>
      </c>
      <c r="E13" s="41">
        <v>3434.67</v>
      </c>
      <c r="F13" s="41"/>
      <c r="G13" s="41">
        <v>515.2</v>
      </c>
      <c r="H13" s="41"/>
      <c r="I13" s="41"/>
      <c r="J13" s="41"/>
      <c r="K13" s="41"/>
      <c r="L13" s="41"/>
      <c r="M13" s="41">
        <f t="shared" si="0"/>
        <v>3434.67</v>
      </c>
      <c r="N13" s="41">
        <f t="shared" si="1"/>
        <v>3949.87</v>
      </c>
      <c r="O13" s="7" t="s">
        <v>45</v>
      </c>
      <c r="P13" s="7" t="s">
        <v>158</v>
      </c>
      <c r="Q13" s="7"/>
      <c r="R13" s="7"/>
      <c r="S13" s="7">
        <f t="shared" si="2"/>
        <v>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30" customHeight="1">
      <c r="A14" s="7">
        <v>7</v>
      </c>
      <c r="B14" s="39" t="s">
        <v>87</v>
      </c>
      <c r="C14" s="40">
        <v>1</v>
      </c>
      <c r="D14" s="40">
        <v>14</v>
      </c>
      <c r="E14" s="41">
        <v>3434.67</v>
      </c>
      <c r="F14" s="41"/>
      <c r="G14" s="41">
        <v>515.2</v>
      </c>
      <c r="H14" s="41"/>
      <c r="I14" s="41"/>
      <c r="J14" s="41"/>
      <c r="K14" s="41"/>
      <c r="L14" s="41"/>
      <c r="M14" s="41">
        <f t="shared" si="0"/>
        <v>3434.67</v>
      </c>
      <c r="N14" s="41">
        <f t="shared" si="1"/>
        <v>3949.87</v>
      </c>
      <c r="O14" s="7" t="s">
        <v>31</v>
      </c>
      <c r="P14" s="7" t="s">
        <v>191</v>
      </c>
      <c r="Q14" s="7">
        <v>1</v>
      </c>
      <c r="R14" s="7">
        <f>LOOKUP(P14,массивы!$A$1:$B$12)</f>
        <v>4500</v>
      </c>
      <c r="S14" s="7">
        <f t="shared" si="2"/>
        <v>4500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30" customHeight="1">
      <c r="A15" s="7">
        <v>8</v>
      </c>
      <c r="B15" s="39" t="s">
        <v>88</v>
      </c>
      <c r="C15" s="40">
        <v>1</v>
      </c>
      <c r="D15" s="40">
        <v>14</v>
      </c>
      <c r="E15" s="41">
        <v>3434.67</v>
      </c>
      <c r="F15" s="41"/>
      <c r="G15" s="41">
        <v>515.2</v>
      </c>
      <c r="H15" s="41"/>
      <c r="I15" s="41"/>
      <c r="J15" s="41"/>
      <c r="K15" s="41"/>
      <c r="L15" s="41"/>
      <c r="M15" s="41">
        <f t="shared" si="0"/>
        <v>3434.67</v>
      </c>
      <c r="N15" s="41">
        <f t="shared" si="1"/>
        <v>3949.87</v>
      </c>
      <c r="O15" s="42" t="s">
        <v>77</v>
      </c>
      <c r="P15" s="7" t="s">
        <v>191</v>
      </c>
      <c r="Q15" s="7">
        <v>1</v>
      </c>
      <c r="R15" s="7">
        <f>LOOKUP(P15,массивы!$A$1:$B$12)</f>
        <v>4500</v>
      </c>
      <c r="S15" s="7">
        <f t="shared" si="2"/>
        <v>4500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30" customHeight="1">
      <c r="A16" s="7">
        <v>9</v>
      </c>
      <c r="B16" s="39" t="s">
        <v>89</v>
      </c>
      <c r="C16" s="40">
        <v>1</v>
      </c>
      <c r="D16" s="40">
        <v>15</v>
      </c>
      <c r="E16" s="41">
        <v>3706.96</v>
      </c>
      <c r="F16" s="41"/>
      <c r="G16" s="41">
        <v>556.04</v>
      </c>
      <c r="H16" s="41"/>
      <c r="I16" s="41"/>
      <c r="J16" s="41"/>
      <c r="K16" s="41"/>
      <c r="L16" s="41"/>
      <c r="M16" s="41">
        <f t="shared" si="0"/>
        <v>3706.96</v>
      </c>
      <c r="N16" s="41">
        <f t="shared" si="1"/>
        <v>4263</v>
      </c>
      <c r="O16" s="7" t="s">
        <v>32</v>
      </c>
      <c r="P16" s="7" t="s">
        <v>191</v>
      </c>
      <c r="Q16" s="7">
        <v>1</v>
      </c>
      <c r="R16" s="7">
        <f>LOOKUP(P16,массивы!$A$1:$B$12)</f>
        <v>4500</v>
      </c>
      <c r="S16" s="7">
        <f t="shared" si="2"/>
        <v>4500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30" customHeight="1">
      <c r="A17" s="7">
        <v>10</v>
      </c>
      <c r="B17" s="39" t="s">
        <v>46</v>
      </c>
      <c r="C17" s="40">
        <v>1</v>
      </c>
      <c r="D17" s="40">
        <v>14</v>
      </c>
      <c r="E17" s="41">
        <v>3434.67</v>
      </c>
      <c r="F17" s="41"/>
      <c r="G17" s="41">
        <v>515.2</v>
      </c>
      <c r="H17" s="41"/>
      <c r="I17" s="41"/>
      <c r="J17" s="41"/>
      <c r="K17" s="41"/>
      <c r="L17" s="41"/>
      <c r="M17" s="41">
        <f t="shared" si="0"/>
        <v>3434.67</v>
      </c>
      <c r="N17" s="41">
        <f t="shared" si="1"/>
        <v>3949.87</v>
      </c>
      <c r="O17" s="7" t="s">
        <v>47</v>
      </c>
      <c r="P17" s="7" t="s">
        <v>191</v>
      </c>
      <c r="Q17" s="7">
        <v>1</v>
      </c>
      <c r="R17" s="7">
        <f>LOOKUP(P17,массивы!$A$1:$B$12)</f>
        <v>4500</v>
      </c>
      <c r="S17" s="7">
        <f t="shared" si="2"/>
        <v>4500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30" customHeight="1">
      <c r="A18" s="7">
        <v>11</v>
      </c>
      <c r="B18" s="39" t="s">
        <v>90</v>
      </c>
      <c r="C18" s="40">
        <v>1</v>
      </c>
      <c r="D18" s="40">
        <v>13</v>
      </c>
      <c r="E18" s="41">
        <v>3196.58</v>
      </c>
      <c r="F18" s="41"/>
      <c r="G18" s="41">
        <v>479.49</v>
      </c>
      <c r="H18" s="41"/>
      <c r="I18" s="41"/>
      <c r="J18" s="41"/>
      <c r="K18" s="41"/>
      <c r="L18" s="41"/>
      <c r="M18" s="41">
        <f t="shared" si="0"/>
        <v>3196.58</v>
      </c>
      <c r="N18" s="41">
        <f t="shared" si="1"/>
        <v>3676.0699999999997</v>
      </c>
      <c r="O18" s="42" t="s">
        <v>76</v>
      </c>
      <c r="P18" s="7" t="s">
        <v>191</v>
      </c>
      <c r="Q18" s="7">
        <v>1</v>
      </c>
      <c r="R18" s="7">
        <f>LOOKUP(P18,массивы!$A$1:$B$12)</f>
        <v>4500</v>
      </c>
      <c r="S18" s="7">
        <f t="shared" si="2"/>
        <v>4500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30" customHeight="1">
      <c r="A19" s="7">
        <v>12</v>
      </c>
      <c r="B19" s="39" t="s">
        <v>91</v>
      </c>
      <c r="C19" s="40">
        <v>1</v>
      </c>
      <c r="D19" s="40">
        <v>14</v>
      </c>
      <c r="E19" s="41">
        <v>3434.67</v>
      </c>
      <c r="F19" s="41"/>
      <c r="G19" s="41">
        <v>515.2</v>
      </c>
      <c r="H19" s="41"/>
      <c r="I19" s="41"/>
      <c r="J19" s="41"/>
      <c r="K19" s="41"/>
      <c r="L19" s="41"/>
      <c r="M19" s="41">
        <f t="shared" si="0"/>
        <v>3434.67</v>
      </c>
      <c r="N19" s="41">
        <f t="shared" si="1"/>
        <v>3949.87</v>
      </c>
      <c r="O19" s="7" t="s">
        <v>33</v>
      </c>
      <c r="P19" s="7" t="s">
        <v>191</v>
      </c>
      <c r="Q19" s="7">
        <v>1</v>
      </c>
      <c r="R19" s="7">
        <f>LOOKUP(P19,массивы!$A$1:$B$12)</f>
        <v>4500</v>
      </c>
      <c r="S19" s="7">
        <f t="shared" si="2"/>
        <v>4500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30" customHeight="1">
      <c r="A20" s="7">
        <v>13</v>
      </c>
      <c r="B20" s="39" t="s">
        <v>92</v>
      </c>
      <c r="C20" s="40">
        <v>1</v>
      </c>
      <c r="D20" s="40">
        <v>5</v>
      </c>
      <c r="E20" s="41">
        <v>1548.23</v>
      </c>
      <c r="F20" s="41"/>
      <c r="G20" s="41">
        <v>232.23</v>
      </c>
      <c r="H20" s="41"/>
      <c r="I20" s="41"/>
      <c r="J20" s="41"/>
      <c r="K20" s="41"/>
      <c r="L20" s="41">
        <v>519.54</v>
      </c>
      <c r="M20" s="41">
        <f t="shared" si="0"/>
        <v>1548.23</v>
      </c>
      <c r="N20" s="41">
        <f t="shared" si="1"/>
        <v>2300</v>
      </c>
      <c r="O20" s="7" t="s">
        <v>34</v>
      </c>
      <c r="P20" s="7" t="s">
        <v>192</v>
      </c>
      <c r="Q20" s="7">
        <v>2</v>
      </c>
      <c r="R20" s="7">
        <f>LOOKUP(P20,массивы!$A$1:$B$12)</f>
        <v>3000</v>
      </c>
      <c r="S20" s="7">
        <f t="shared" si="2"/>
        <v>3000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30" customHeight="1">
      <c r="A21" s="7">
        <v>14</v>
      </c>
      <c r="B21" s="39" t="s">
        <v>93</v>
      </c>
      <c r="C21" s="40">
        <v>1</v>
      </c>
      <c r="D21" s="40">
        <v>14</v>
      </c>
      <c r="E21" s="41">
        <v>3434.67</v>
      </c>
      <c r="F21" s="41"/>
      <c r="G21" s="41">
        <v>515.2</v>
      </c>
      <c r="H21" s="41"/>
      <c r="I21" s="41"/>
      <c r="J21" s="41"/>
      <c r="K21" s="41"/>
      <c r="L21" s="41"/>
      <c r="M21" s="41">
        <f t="shared" si="0"/>
        <v>3434.67</v>
      </c>
      <c r="N21" s="41">
        <f t="shared" si="1"/>
        <v>3949.87</v>
      </c>
      <c r="O21" s="7" t="s">
        <v>35</v>
      </c>
      <c r="P21" s="7" t="s">
        <v>191</v>
      </c>
      <c r="Q21" s="7">
        <v>1</v>
      </c>
      <c r="R21" s="7">
        <f>LOOKUP(P21,массивы!$A$1:$B$12)</f>
        <v>4500</v>
      </c>
      <c r="S21" s="7">
        <f t="shared" si="2"/>
        <v>4500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30" customHeight="1">
      <c r="A22" s="7">
        <v>15</v>
      </c>
      <c r="B22" s="39" t="s">
        <v>24</v>
      </c>
      <c r="C22" s="40">
        <v>1</v>
      </c>
      <c r="D22" s="40">
        <v>15</v>
      </c>
      <c r="E22" s="41">
        <v>3706.96</v>
      </c>
      <c r="F22" s="41"/>
      <c r="G22" s="41">
        <v>556.04</v>
      </c>
      <c r="H22" s="41"/>
      <c r="I22" s="41"/>
      <c r="J22" s="41"/>
      <c r="K22" s="41"/>
      <c r="L22" s="41"/>
      <c r="M22" s="41">
        <f t="shared" si="0"/>
        <v>3706.96</v>
      </c>
      <c r="N22" s="41">
        <f t="shared" si="1"/>
        <v>4263</v>
      </c>
      <c r="O22" s="7" t="s">
        <v>36</v>
      </c>
      <c r="P22" s="7" t="s">
        <v>158</v>
      </c>
      <c r="Q22" s="7"/>
      <c r="R22" s="7"/>
      <c r="S22" s="7">
        <f t="shared" si="2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30" customHeight="1">
      <c r="A23" s="7">
        <v>16</v>
      </c>
      <c r="B23" s="39" t="s">
        <v>94</v>
      </c>
      <c r="C23" s="40">
        <v>1</v>
      </c>
      <c r="D23" s="40">
        <v>15</v>
      </c>
      <c r="E23" s="41">
        <v>3706.96</v>
      </c>
      <c r="F23" s="41"/>
      <c r="G23" s="41">
        <v>556.04</v>
      </c>
      <c r="H23" s="41"/>
      <c r="I23" s="41"/>
      <c r="J23" s="41"/>
      <c r="K23" s="41"/>
      <c r="L23" s="41"/>
      <c r="M23" s="41">
        <f t="shared" si="0"/>
        <v>3706.96</v>
      </c>
      <c r="N23" s="41">
        <f t="shared" si="1"/>
        <v>4263</v>
      </c>
      <c r="O23" s="42" t="s">
        <v>79</v>
      </c>
      <c r="P23" s="7" t="s">
        <v>193</v>
      </c>
      <c r="Q23" s="7">
        <v>5</v>
      </c>
      <c r="R23" s="7">
        <f>LOOKUP(P23,массивы!$A$1:$B$12)</f>
        <v>2300</v>
      </c>
      <c r="S23" s="7">
        <f t="shared" si="2"/>
        <v>2300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30" customHeight="1">
      <c r="A24" s="7">
        <v>17</v>
      </c>
      <c r="B24" s="39" t="s">
        <v>95</v>
      </c>
      <c r="C24" s="40">
        <v>1</v>
      </c>
      <c r="D24" s="40">
        <v>10</v>
      </c>
      <c r="E24" s="41">
        <v>2499.39</v>
      </c>
      <c r="F24" s="41"/>
      <c r="G24" s="41">
        <v>374.91</v>
      </c>
      <c r="H24" s="41"/>
      <c r="I24" s="41"/>
      <c r="J24" s="41"/>
      <c r="K24" s="41"/>
      <c r="L24" s="41"/>
      <c r="M24" s="41">
        <f t="shared" si="0"/>
        <v>2499.39</v>
      </c>
      <c r="N24" s="41">
        <f t="shared" si="1"/>
        <v>2874.2999999999997</v>
      </c>
      <c r="O24" s="42" t="s">
        <v>37</v>
      </c>
      <c r="P24" s="7" t="s">
        <v>194</v>
      </c>
      <c r="Q24" s="7">
        <v>1</v>
      </c>
      <c r="R24" s="7">
        <f>LOOKUP(P24,массивы!$A$1:$B$12)</f>
        <v>4000</v>
      </c>
      <c r="S24" s="7">
        <f t="shared" si="2"/>
        <v>4000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30" customHeight="1">
      <c r="A25" s="7">
        <v>18</v>
      </c>
      <c r="B25" s="39" t="s">
        <v>95</v>
      </c>
      <c r="C25" s="40">
        <v>1</v>
      </c>
      <c r="D25" s="40">
        <v>8</v>
      </c>
      <c r="E25" s="41">
        <v>2074.48</v>
      </c>
      <c r="F25" s="41"/>
      <c r="G25" s="41">
        <v>311.17</v>
      </c>
      <c r="H25" s="41"/>
      <c r="I25" s="41"/>
      <c r="J25" s="41"/>
      <c r="K25" s="41"/>
      <c r="L25" s="41"/>
      <c r="M25" s="41">
        <f t="shared" si="0"/>
        <v>2074.48</v>
      </c>
      <c r="N25" s="41">
        <f t="shared" si="1"/>
        <v>2385.65</v>
      </c>
      <c r="O25" s="7" t="s">
        <v>38</v>
      </c>
      <c r="P25" s="7" t="s">
        <v>194</v>
      </c>
      <c r="Q25" s="7">
        <v>1</v>
      </c>
      <c r="R25" s="7">
        <f>LOOKUP(P25,массивы!$A$1:$B$12)</f>
        <v>4000</v>
      </c>
      <c r="S25" s="7">
        <f t="shared" si="2"/>
        <v>4000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30" customHeight="1">
      <c r="A26" s="7">
        <v>19</v>
      </c>
      <c r="B26" s="39" t="s">
        <v>96</v>
      </c>
      <c r="C26" s="40">
        <v>1</v>
      </c>
      <c r="D26" s="40">
        <v>4</v>
      </c>
      <c r="E26" s="41">
        <v>1394.38</v>
      </c>
      <c r="F26" s="41"/>
      <c r="G26" s="41">
        <v>209.16</v>
      </c>
      <c r="H26" s="41"/>
      <c r="I26" s="41"/>
      <c r="J26" s="41"/>
      <c r="K26" s="41"/>
      <c r="L26" s="41">
        <v>696.46</v>
      </c>
      <c r="M26" s="41">
        <f t="shared" si="0"/>
        <v>1394.38</v>
      </c>
      <c r="N26" s="41">
        <f t="shared" si="1"/>
        <v>2300</v>
      </c>
      <c r="O26" s="7" t="s">
        <v>39</v>
      </c>
      <c r="P26" s="7" t="s">
        <v>188</v>
      </c>
      <c r="Q26" s="7">
        <v>1</v>
      </c>
      <c r="R26" s="7">
        <f>LOOKUP(P26,массивы!$A$1:$B$12)</f>
        <v>1000</v>
      </c>
      <c r="S26" s="7">
        <f t="shared" si="2"/>
        <v>1000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30" customHeight="1">
      <c r="A27" s="7">
        <v>20</v>
      </c>
      <c r="B27" s="39" t="s">
        <v>97</v>
      </c>
      <c r="C27" s="40">
        <v>1</v>
      </c>
      <c r="D27" s="40">
        <v>5</v>
      </c>
      <c r="E27" s="41">
        <v>1548.23</v>
      </c>
      <c r="F27" s="41"/>
      <c r="G27" s="41">
        <v>232.23</v>
      </c>
      <c r="H27" s="41">
        <v>774.12</v>
      </c>
      <c r="I27" s="41"/>
      <c r="J27" s="41"/>
      <c r="K27" s="41"/>
      <c r="L27" s="41"/>
      <c r="M27" s="41">
        <f t="shared" si="0"/>
        <v>1548.23</v>
      </c>
      <c r="N27" s="41">
        <f t="shared" si="1"/>
        <v>2554.58</v>
      </c>
      <c r="O27" s="7" t="s">
        <v>40</v>
      </c>
      <c r="P27" s="7" t="s">
        <v>195</v>
      </c>
      <c r="Q27" s="7">
        <v>1</v>
      </c>
      <c r="R27" s="7">
        <f>LOOKUP(P27,массивы!$A$1:$B$12)</f>
        <v>2000</v>
      </c>
      <c r="S27" s="7">
        <f t="shared" si="2"/>
        <v>2000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30" customHeight="1">
      <c r="A28" s="7">
        <v>21</v>
      </c>
      <c r="B28" s="39" t="s">
        <v>98</v>
      </c>
      <c r="C28" s="40">
        <v>1</v>
      </c>
      <c r="D28" s="40">
        <v>6</v>
      </c>
      <c r="E28" s="41">
        <v>1717.95</v>
      </c>
      <c r="F28" s="41"/>
      <c r="G28" s="41">
        <v>257.69</v>
      </c>
      <c r="H28" s="41"/>
      <c r="I28" s="41"/>
      <c r="J28" s="41"/>
      <c r="K28" s="41"/>
      <c r="L28" s="41">
        <v>324.36</v>
      </c>
      <c r="M28" s="41">
        <f t="shared" si="0"/>
        <v>1717.95</v>
      </c>
      <c r="N28" s="41">
        <f t="shared" si="1"/>
        <v>2300</v>
      </c>
      <c r="O28" s="7" t="s">
        <v>41</v>
      </c>
      <c r="P28" s="7" t="s">
        <v>192</v>
      </c>
      <c r="Q28" s="7">
        <v>2</v>
      </c>
      <c r="R28" s="7">
        <f>LOOKUP(P28,массивы!$A$1:$B$12)</f>
        <v>3000</v>
      </c>
      <c r="S28" s="7">
        <f t="shared" si="2"/>
        <v>3000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30" customHeight="1">
      <c r="A29" s="7">
        <v>22</v>
      </c>
      <c r="B29" s="39" t="s">
        <v>99</v>
      </c>
      <c r="C29" s="40">
        <v>1</v>
      </c>
      <c r="D29" s="40">
        <v>5</v>
      </c>
      <c r="E29" s="41">
        <v>1548.23</v>
      </c>
      <c r="F29" s="41"/>
      <c r="G29" s="41">
        <v>232.23</v>
      </c>
      <c r="H29" s="41"/>
      <c r="I29" s="41"/>
      <c r="J29" s="41"/>
      <c r="K29" s="41"/>
      <c r="L29" s="41">
        <v>519.54</v>
      </c>
      <c r="M29" s="41">
        <f t="shared" si="0"/>
        <v>1548.23</v>
      </c>
      <c r="N29" s="41">
        <f t="shared" si="1"/>
        <v>2300</v>
      </c>
      <c r="O29" s="7" t="s">
        <v>41</v>
      </c>
      <c r="P29" s="7" t="s">
        <v>188</v>
      </c>
      <c r="Q29" s="7">
        <v>1</v>
      </c>
      <c r="R29" s="7">
        <f>LOOKUP(P29,массивы!$A$1:$B$12)</f>
        <v>1000</v>
      </c>
      <c r="S29" s="7">
        <f t="shared" si="2"/>
        <v>1000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30" customHeight="1">
      <c r="A30" s="7">
        <v>23</v>
      </c>
      <c r="B30" s="39" t="s">
        <v>100</v>
      </c>
      <c r="C30" s="40">
        <v>1</v>
      </c>
      <c r="D30" s="40">
        <v>3</v>
      </c>
      <c r="E30" s="41">
        <v>1330.89</v>
      </c>
      <c r="F30" s="41"/>
      <c r="G30" s="41">
        <v>199.63</v>
      </c>
      <c r="H30" s="41"/>
      <c r="I30" s="41"/>
      <c r="J30" s="41"/>
      <c r="K30" s="41"/>
      <c r="L30" s="41">
        <v>769.48</v>
      </c>
      <c r="M30" s="41">
        <f t="shared" si="0"/>
        <v>1330.89</v>
      </c>
      <c r="N30" s="41">
        <f t="shared" si="1"/>
        <v>2300</v>
      </c>
      <c r="O30" s="7" t="s">
        <v>43</v>
      </c>
      <c r="P30" s="7" t="s">
        <v>188</v>
      </c>
      <c r="Q30" s="7">
        <v>1</v>
      </c>
      <c r="R30" s="7">
        <f>LOOKUP(P30,массивы!$A$1:$B$12)</f>
        <v>1000</v>
      </c>
      <c r="S30" s="7">
        <f t="shared" si="2"/>
        <v>1000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30" customHeight="1">
      <c r="A31" s="7">
        <v>24</v>
      </c>
      <c r="B31" s="39" t="s">
        <v>101</v>
      </c>
      <c r="C31" s="40">
        <v>1</v>
      </c>
      <c r="D31" s="40">
        <v>3</v>
      </c>
      <c r="E31" s="41">
        <v>1330.89</v>
      </c>
      <c r="F31" s="41"/>
      <c r="G31" s="41">
        <v>199.63</v>
      </c>
      <c r="H31" s="41"/>
      <c r="I31" s="41"/>
      <c r="J31" s="41"/>
      <c r="K31" s="41"/>
      <c r="L31" s="41">
        <v>104.03</v>
      </c>
      <c r="M31" s="41">
        <f t="shared" si="0"/>
        <v>1330.89</v>
      </c>
      <c r="N31" s="41">
        <f t="shared" si="1"/>
        <v>1634.55</v>
      </c>
      <c r="O31" s="7" t="s">
        <v>44</v>
      </c>
      <c r="P31" s="7" t="s">
        <v>188</v>
      </c>
      <c r="Q31" s="7">
        <v>1</v>
      </c>
      <c r="R31" s="7">
        <f>LOOKUP(P31,массивы!$A$1:$B$12)</f>
        <v>1000</v>
      </c>
      <c r="S31" s="7">
        <f t="shared" si="2"/>
        <v>1000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30" customHeight="1">
      <c r="A32" s="7">
        <v>25</v>
      </c>
      <c r="B32" s="39" t="s">
        <v>102</v>
      </c>
      <c r="C32" s="40">
        <v>1</v>
      </c>
      <c r="D32" s="40">
        <v>5</v>
      </c>
      <c r="E32" s="41">
        <v>1548.23</v>
      </c>
      <c r="F32" s="41"/>
      <c r="G32" s="41">
        <v>232.23</v>
      </c>
      <c r="H32" s="41"/>
      <c r="I32" s="41"/>
      <c r="J32" s="41"/>
      <c r="K32" s="41"/>
      <c r="L32" s="41">
        <v>519.54</v>
      </c>
      <c r="M32" s="41">
        <f t="shared" si="0"/>
        <v>1548.23</v>
      </c>
      <c r="N32" s="41">
        <f t="shared" si="1"/>
        <v>2300</v>
      </c>
      <c r="O32" s="7" t="s">
        <v>42</v>
      </c>
      <c r="P32" s="7" t="s">
        <v>188</v>
      </c>
      <c r="Q32" s="7">
        <v>1</v>
      </c>
      <c r="R32" s="7">
        <f>LOOKUP(P32,массивы!$A$1:$B$12)</f>
        <v>1000</v>
      </c>
      <c r="S32" s="7">
        <f t="shared" si="2"/>
        <v>1000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30" customHeight="1">
      <c r="A33" s="7">
        <v>26</v>
      </c>
      <c r="B33" s="39" t="s">
        <v>103</v>
      </c>
      <c r="C33" s="40">
        <v>1</v>
      </c>
      <c r="D33" s="40">
        <v>11</v>
      </c>
      <c r="E33" s="41">
        <v>2737.48</v>
      </c>
      <c r="F33" s="41"/>
      <c r="G33" s="41">
        <v>410.62</v>
      </c>
      <c r="H33" s="41"/>
      <c r="I33" s="41"/>
      <c r="J33" s="41"/>
      <c r="K33" s="41"/>
      <c r="L33" s="41"/>
      <c r="M33" s="41">
        <f t="shared" si="0"/>
        <v>2737.48</v>
      </c>
      <c r="N33" s="41">
        <f t="shared" si="1"/>
        <v>3148.1</v>
      </c>
      <c r="O33" s="7" t="s">
        <v>48</v>
      </c>
      <c r="P33" s="7"/>
      <c r="Q33" s="7"/>
      <c r="R33" s="7">
        <v>3331</v>
      </c>
      <c r="S33" s="7">
        <f t="shared" si="2"/>
        <v>3331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30" customHeight="1">
      <c r="A34" s="7">
        <v>27</v>
      </c>
      <c r="B34" s="39" t="s">
        <v>25</v>
      </c>
      <c r="C34" s="40">
        <v>1</v>
      </c>
      <c r="D34" s="40">
        <v>13</v>
      </c>
      <c r="E34" s="41">
        <v>3196.58</v>
      </c>
      <c r="F34" s="41"/>
      <c r="G34" s="41">
        <v>479.49</v>
      </c>
      <c r="H34" s="41"/>
      <c r="I34" s="41"/>
      <c r="J34" s="41"/>
      <c r="K34" s="41"/>
      <c r="L34" s="41"/>
      <c r="M34" s="41">
        <f t="shared" si="0"/>
        <v>3196.58</v>
      </c>
      <c r="N34" s="41">
        <f t="shared" si="1"/>
        <v>3676.0699999999997</v>
      </c>
      <c r="O34" s="7" t="s">
        <v>49</v>
      </c>
      <c r="P34" s="7" t="s">
        <v>196</v>
      </c>
      <c r="Q34" s="7">
        <v>3</v>
      </c>
      <c r="R34" s="7">
        <f>LOOKUP(P34,массивы!$A$1:$B$12)</f>
        <v>4000</v>
      </c>
      <c r="S34" s="7">
        <f t="shared" si="2"/>
        <v>4000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30" customHeight="1">
      <c r="A35" s="7">
        <v>28</v>
      </c>
      <c r="B35" s="39" t="s">
        <v>161</v>
      </c>
      <c r="C35" s="40">
        <v>1</v>
      </c>
      <c r="D35" s="40">
        <v>11</v>
      </c>
      <c r="E35" s="41">
        <v>2737.48</v>
      </c>
      <c r="F35" s="41"/>
      <c r="G35" s="41">
        <v>410.62</v>
      </c>
      <c r="H35" s="41"/>
      <c r="I35" s="41"/>
      <c r="J35" s="41"/>
      <c r="K35" s="41"/>
      <c r="L35" s="41"/>
      <c r="M35" s="41">
        <f t="shared" si="0"/>
        <v>2737.48</v>
      </c>
      <c r="N35" s="41">
        <f t="shared" si="1"/>
        <v>3148.1</v>
      </c>
      <c r="O35" s="7" t="s">
        <v>30</v>
      </c>
      <c r="P35" s="7" t="s">
        <v>194</v>
      </c>
      <c r="Q35" s="7">
        <v>1</v>
      </c>
      <c r="R35" s="7">
        <f>LOOKUP(P35,массивы!$A$1:$B$12)</f>
        <v>4000</v>
      </c>
      <c r="S35" s="7">
        <f t="shared" si="2"/>
        <v>4000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30" customHeight="1">
      <c r="A36" s="43"/>
      <c r="B36" s="44" t="s">
        <v>21</v>
      </c>
      <c r="C36" s="45">
        <f>SUM(C8:C35)</f>
        <v>28</v>
      </c>
      <c r="D36" s="45"/>
      <c r="E36" s="46"/>
      <c r="F36" s="46">
        <f aca="true" t="shared" si="3" ref="F36:L36">SUM(F8:F35)</f>
        <v>5173.01</v>
      </c>
      <c r="G36" s="46">
        <f>SUM(G8:G35)</f>
        <v>11729.449999999997</v>
      </c>
      <c r="H36" s="46">
        <f t="shared" si="3"/>
        <v>774.12</v>
      </c>
      <c r="I36" s="46">
        <f t="shared" si="3"/>
        <v>0</v>
      </c>
      <c r="J36" s="46">
        <f t="shared" si="3"/>
        <v>0</v>
      </c>
      <c r="K36" s="46">
        <f t="shared" si="3"/>
        <v>0</v>
      </c>
      <c r="L36" s="46">
        <f t="shared" si="3"/>
        <v>3452.9500000000003</v>
      </c>
      <c r="M36" s="46">
        <f>SUM(M8:M35)</f>
        <v>78196.51999999999</v>
      </c>
      <c r="N36" s="46">
        <f>SUM(N8:N35)</f>
        <v>99326.05000000002</v>
      </c>
      <c r="O36" s="7"/>
      <c r="P36" s="7"/>
      <c r="Q36" s="7"/>
      <c r="R36" s="7"/>
      <c r="S36" s="7">
        <f t="shared" si="2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30" customHeight="1">
      <c r="A37" s="93" t="s">
        <v>104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"/>
      <c r="P37" s="7"/>
      <c r="Q37" s="7"/>
      <c r="R37" s="7"/>
      <c r="S37" s="7">
        <f t="shared" si="2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30" customHeight="1">
      <c r="A38" s="7">
        <v>1</v>
      </c>
      <c r="B38" s="47" t="s">
        <v>105</v>
      </c>
      <c r="C38" s="40">
        <v>1</v>
      </c>
      <c r="D38" s="40">
        <v>15</v>
      </c>
      <c r="E38" s="41">
        <v>3706.96</v>
      </c>
      <c r="F38" s="41"/>
      <c r="G38" s="41">
        <v>556.04</v>
      </c>
      <c r="H38" s="41"/>
      <c r="I38" s="41"/>
      <c r="J38" s="41"/>
      <c r="K38" s="41"/>
      <c r="L38" s="41"/>
      <c r="M38" s="41">
        <f>E38</f>
        <v>3706.96</v>
      </c>
      <c r="N38" s="41">
        <f>E38+G38</f>
        <v>4263</v>
      </c>
      <c r="O38" s="7" t="s">
        <v>50</v>
      </c>
      <c r="P38" s="7" t="s">
        <v>197</v>
      </c>
      <c r="Q38" s="7">
        <v>4</v>
      </c>
      <c r="R38" s="7">
        <f>LOOKUP(P38,массивы!$A$1:$B$12)</f>
        <v>4100</v>
      </c>
      <c r="S38" s="7">
        <f t="shared" si="2"/>
        <v>4100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30" customHeight="1">
      <c r="A39" s="7">
        <v>2</v>
      </c>
      <c r="B39" s="47" t="s">
        <v>106</v>
      </c>
      <c r="C39" s="40">
        <v>4</v>
      </c>
      <c r="D39" s="40">
        <v>13</v>
      </c>
      <c r="E39" s="41">
        <v>3196.58</v>
      </c>
      <c r="F39" s="41"/>
      <c r="G39" s="41">
        <f>479.49*C39</f>
        <v>1917.96</v>
      </c>
      <c r="H39" s="41"/>
      <c r="I39" s="41">
        <f>479.49*C39</f>
        <v>1917.96</v>
      </c>
      <c r="J39" s="41"/>
      <c r="K39" s="41"/>
      <c r="L39" s="41"/>
      <c r="M39" s="41">
        <f>C39*E39</f>
        <v>12786.32</v>
      </c>
      <c r="N39" s="41">
        <f>G39+H39+I39+K39+L39+M39</f>
        <v>16622.239999999998</v>
      </c>
      <c r="O39" s="48" t="s">
        <v>65</v>
      </c>
      <c r="P39" s="7" t="s">
        <v>196</v>
      </c>
      <c r="Q39" s="7">
        <v>3</v>
      </c>
      <c r="R39" s="7">
        <f>LOOKUP(P39,массивы!$A$1:$B$12)</f>
        <v>4000</v>
      </c>
      <c r="S39" s="7">
        <f t="shared" si="2"/>
        <v>16000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30" customHeight="1">
      <c r="A40" s="7">
        <v>3</v>
      </c>
      <c r="B40" s="47" t="s">
        <v>106</v>
      </c>
      <c r="C40" s="40">
        <v>1</v>
      </c>
      <c r="D40" s="40">
        <v>10</v>
      </c>
      <c r="E40" s="41">
        <v>2499.39</v>
      </c>
      <c r="F40" s="41"/>
      <c r="G40" s="41">
        <v>374.91</v>
      </c>
      <c r="H40" s="41"/>
      <c r="I40" s="41"/>
      <c r="J40" s="41"/>
      <c r="K40" s="41"/>
      <c r="L40" s="41"/>
      <c r="M40" s="41">
        <f>C40*E40</f>
        <v>2499.39</v>
      </c>
      <c r="N40" s="41">
        <f aca="true" t="shared" si="4" ref="N40:N52">G40+H40+I40+K40+L40+M40</f>
        <v>2874.2999999999997</v>
      </c>
      <c r="O40" s="7"/>
      <c r="P40" s="7" t="s">
        <v>196</v>
      </c>
      <c r="Q40" s="7">
        <v>3</v>
      </c>
      <c r="R40" s="7">
        <f>LOOKUP(P40,массивы!$A$1:$B$12)</f>
        <v>4000</v>
      </c>
      <c r="S40" s="7">
        <f t="shared" si="2"/>
        <v>4000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30" customHeight="1">
      <c r="A41" s="7">
        <v>4</v>
      </c>
      <c r="B41" s="47" t="s">
        <v>107</v>
      </c>
      <c r="C41" s="40">
        <v>1</v>
      </c>
      <c r="D41" s="40">
        <v>14</v>
      </c>
      <c r="E41" s="41">
        <v>3434.67</v>
      </c>
      <c r="F41" s="41"/>
      <c r="G41" s="41">
        <v>515.2</v>
      </c>
      <c r="H41" s="41"/>
      <c r="I41" s="41">
        <v>515.2</v>
      </c>
      <c r="J41" s="41"/>
      <c r="K41" s="41"/>
      <c r="L41" s="41"/>
      <c r="M41" s="41">
        <f>E41</f>
        <v>3434.67</v>
      </c>
      <c r="N41" s="41">
        <f t="shared" si="4"/>
        <v>4465.07</v>
      </c>
      <c r="O41" s="7" t="s">
        <v>51</v>
      </c>
      <c r="P41" s="7" t="s">
        <v>191</v>
      </c>
      <c r="Q41" s="7">
        <v>1</v>
      </c>
      <c r="R41" s="7">
        <f>LOOKUP(P41,массивы!$A$1:$B$12)</f>
        <v>4500</v>
      </c>
      <c r="S41" s="7">
        <f t="shared" si="2"/>
        <v>4500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30" customHeight="1">
      <c r="A42" s="7">
        <v>5</v>
      </c>
      <c r="B42" s="47" t="s">
        <v>107</v>
      </c>
      <c r="C42" s="40">
        <v>2</v>
      </c>
      <c r="D42" s="40">
        <v>10</v>
      </c>
      <c r="E42" s="41">
        <v>2499.39</v>
      </c>
      <c r="F42" s="41"/>
      <c r="G42" s="41">
        <f>374.91*C42</f>
        <v>749.82</v>
      </c>
      <c r="H42" s="41"/>
      <c r="I42" s="41">
        <f>374.91*C42</f>
        <v>749.82</v>
      </c>
      <c r="J42" s="41"/>
      <c r="K42" s="41"/>
      <c r="L42" s="41"/>
      <c r="M42" s="41">
        <f>E42*C42</f>
        <v>4998.78</v>
      </c>
      <c r="N42" s="41">
        <f t="shared" si="4"/>
        <v>6498.42</v>
      </c>
      <c r="O42" s="7" t="s">
        <v>52</v>
      </c>
      <c r="P42" s="7" t="s">
        <v>191</v>
      </c>
      <c r="Q42" s="7">
        <v>1</v>
      </c>
      <c r="R42" s="7">
        <f>LOOKUP(P42,массивы!$A$1:$B$12)</f>
        <v>4500</v>
      </c>
      <c r="S42" s="7">
        <f t="shared" si="2"/>
        <v>9000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30" customHeight="1">
      <c r="A43" s="7">
        <v>6</v>
      </c>
      <c r="B43" s="47" t="s">
        <v>108</v>
      </c>
      <c r="C43" s="40">
        <v>2</v>
      </c>
      <c r="D43" s="40">
        <v>14</v>
      </c>
      <c r="E43" s="41">
        <v>3434.67</v>
      </c>
      <c r="F43" s="41"/>
      <c r="G43" s="41">
        <f>515.2*C43</f>
        <v>1030.4</v>
      </c>
      <c r="H43" s="41"/>
      <c r="I43" s="41"/>
      <c r="J43" s="41"/>
      <c r="K43" s="41"/>
      <c r="L43" s="41"/>
      <c r="M43" s="41">
        <f>E43*C43</f>
        <v>6869.34</v>
      </c>
      <c r="N43" s="41">
        <f t="shared" si="4"/>
        <v>7899.74</v>
      </c>
      <c r="O43" s="7" t="s">
        <v>57</v>
      </c>
      <c r="P43" s="7" t="s">
        <v>196</v>
      </c>
      <c r="Q43" s="7">
        <v>3</v>
      </c>
      <c r="R43" s="7">
        <f>LOOKUP(P43,массивы!$A$1:$B$12)</f>
        <v>4000</v>
      </c>
      <c r="S43" s="7">
        <f t="shared" si="2"/>
        <v>8000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30" customHeight="1">
      <c r="A44" s="7">
        <v>7</v>
      </c>
      <c r="B44" s="47" t="s">
        <v>53</v>
      </c>
      <c r="C44" s="40">
        <v>1</v>
      </c>
      <c r="D44" s="40">
        <v>13</v>
      </c>
      <c r="E44" s="41">
        <v>3196.58</v>
      </c>
      <c r="F44" s="41"/>
      <c r="G44" s="41">
        <v>479.49</v>
      </c>
      <c r="H44" s="41"/>
      <c r="I44" s="41"/>
      <c r="J44" s="41"/>
      <c r="K44" s="41"/>
      <c r="L44" s="41"/>
      <c r="M44" s="41">
        <f>E44</f>
        <v>3196.58</v>
      </c>
      <c r="N44" s="41">
        <f t="shared" si="4"/>
        <v>3676.0699999999997</v>
      </c>
      <c r="O44" s="7" t="s">
        <v>54</v>
      </c>
      <c r="P44" s="7" t="s">
        <v>198</v>
      </c>
      <c r="Q44" s="7">
        <v>2</v>
      </c>
      <c r="R44" s="7">
        <v>3331</v>
      </c>
      <c r="S44" s="7">
        <f t="shared" si="2"/>
        <v>3331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30" customHeight="1">
      <c r="A45" s="7">
        <v>8</v>
      </c>
      <c r="B45" s="47" t="s">
        <v>55</v>
      </c>
      <c r="C45" s="40">
        <v>1</v>
      </c>
      <c r="D45" s="40">
        <v>13</v>
      </c>
      <c r="E45" s="41">
        <v>3196.58</v>
      </c>
      <c r="F45" s="41"/>
      <c r="G45" s="41">
        <v>479.49</v>
      </c>
      <c r="H45" s="41"/>
      <c r="I45" s="41"/>
      <c r="J45" s="41"/>
      <c r="K45" s="41"/>
      <c r="L45" s="41"/>
      <c r="M45" s="41">
        <f>E45</f>
        <v>3196.58</v>
      </c>
      <c r="N45" s="41">
        <f t="shared" si="4"/>
        <v>3676.0699999999997</v>
      </c>
      <c r="O45" s="7" t="s">
        <v>56</v>
      </c>
      <c r="P45" s="7" t="s">
        <v>196</v>
      </c>
      <c r="Q45" s="7">
        <v>3</v>
      </c>
      <c r="R45" s="7">
        <f>LOOKUP(P45,массивы!$A$1:$B$12)</f>
        <v>4000</v>
      </c>
      <c r="S45" s="7">
        <f t="shared" si="2"/>
        <v>4000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30" customHeight="1">
      <c r="A46" s="7">
        <v>9</v>
      </c>
      <c r="B46" s="47" t="s">
        <v>109</v>
      </c>
      <c r="C46" s="40">
        <v>4</v>
      </c>
      <c r="D46" s="40">
        <v>4</v>
      </c>
      <c r="E46" s="41">
        <v>1394.38</v>
      </c>
      <c r="F46" s="41"/>
      <c r="G46" s="41">
        <f>209.16*C46</f>
        <v>836.64</v>
      </c>
      <c r="H46" s="41"/>
      <c r="I46" s="41">
        <f>209.16*C46</f>
        <v>836.64</v>
      </c>
      <c r="J46" s="41"/>
      <c r="K46" s="41"/>
      <c r="L46" s="41">
        <f>696.46*C46</f>
        <v>2785.84</v>
      </c>
      <c r="M46" s="41">
        <f>E46*C46</f>
        <v>5577.52</v>
      </c>
      <c r="N46" s="41">
        <f t="shared" si="4"/>
        <v>10036.64</v>
      </c>
      <c r="O46" s="48" t="s">
        <v>113</v>
      </c>
      <c r="P46" s="7" t="s">
        <v>195</v>
      </c>
      <c r="Q46" s="7">
        <v>1</v>
      </c>
      <c r="R46" s="7">
        <f>LOOKUP(P46,массивы!$A$1:$B$12)</f>
        <v>2000</v>
      </c>
      <c r="S46" s="7">
        <f t="shared" si="2"/>
        <v>8000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30" customHeight="1">
      <c r="A47" s="7">
        <v>10</v>
      </c>
      <c r="B47" s="47" t="s">
        <v>110</v>
      </c>
      <c r="C47" s="40">
        <v>1</v>
      </c>
      <c r="D47" s="40">
        <v>6</v>
      </c>
      <c r="E47" s="41">
        <v>1717.95</v>
      </c>
      <c r="F47" s="41"/>
      <c r="G47" s="41">
        <v>257.69</v>
      </c>
      <c r="H47" s="41"/>
      <c r="I47" s="41"/>
      <c r="J47" s="41"/>
      <c r="K47" s="41"/>
      <c r="L47" s="41">
        <v>324.36</v>
      </c>
      <c r="M47" s="41">
        <f aca="true" t="shared" si="5" ref="M47:M52">E47</f>
        <v>1717.95</v>
      </c>
      <c r="N47" s="41">
        <f t="shared" si="4"/>
        <v>2300</v>
      </c>
      <c r="O47" s="7" t="s">
        <v>58</v>
      </c>
      <c r="P47" s="7" t="s">
        <v>162</v>
      </c>
      <c r="Q47" s="7"/>
      <c r="R47" s="7">
        <f>LOOKUP(P47,массивы!$A$1:$B$12)</f>
        <v>2300</v>
      </c>
      <c r="S47" s="7">
        <f t="shared" si="2"/>
        <v>2300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30" customHeight="1">
      <c r="A48" s="7">
        <v>11</v>
      </c>
      <c r="B48" s="47" t="s">
        <v>111</v>
      </c>
      <c r="C48" s="40">
        <v>1</v>
      </c>
      <c r="D48" s="40">
        <v>8</v>
      </c>
      <c r="E48" s="41">
        <v>2074.48</v>
      </c>
      <c r="F48" s="41"/>
      <c r="G48" s="41">
        <v>311.17</v>
      </c>
      <c r="H48" s="41"/>
      <c r="I48" s="41"/>
      <c r="J48" s="41"/>
      <c r="K48" s="41"/>
      <c r="L48" s="41"/>
      <c r="M48" s="41">
        <f t="shared" si="5"/>
        <v>2074.48</v>
      </c>
      <c r="N48" s="41">
        <f t="shared" si="4"/>
        <v>2385.65</v>
      </c>
      <c r="O48" s="7"/>
      <c r="P48" s="7"/>
      <c r="Q48" s="7"/>
      <c r="R48" s="7">
        <v>3331</v>
      </c>
      <c r="S48" s="7">
        <f t="shared" si="2"/>
        <v>3331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30" customHeight="1">
      <c r="A49" s="7">
        <v>12</v>
      </c>
      <c r="B49" s="47" t="s">
        <v>112</v>
      </c>
      <c r="C49" s="40">
        <v>1</v>
      </c>
      <c r="D49" s="40">
        <v>10</v>
      </c>
      <c r="E49" s="41">
        <v>2499.39</v>
      </c>
      <c r="F49" s="41"/>
      <c r="G49" s="41">
        <v>374.91</v>
      </c>
      <c r="H49" s="41"/>
      <c r="I49" s="41"/>
      <c r="J49" s="41"/>
      <c r="K49" s="41"/>
      <c r="L49" s="41"/>
      <c r="M49" s="41">
        <f t="shared" si="5"/>
        <v>2499.39</v>
      </c>
      <c r="N49" s="41">
        <f t="shared" si="4"/>
        <v>2874.2999999999997</v>
      </c>
      <c r="O49" s="7" t="s">
        <v>59</v>
      </c>
      <c r="P49" s="7"/>
      <c r="Q49" s="7"/>
      <c r="R49" s="7">
        <v>3331</v>
      </c>
      <c r="S49" s="7">
        <f t="shared" si="2"/>
        <v>3331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30" customHeight="1">
      <c r="A50" s="7">
        <v>13</v>
      </c>
      <c r="B50" s="47" t="s">
        <v>112</v>
      </c>
      <c r="C50" s="40">
        <v>1</v>
      </c>
      <c r="D50" s="40">
        <v>11</v>
      </c>
      <c r="E50" s="41">
        <v>2737.48</v>
      </c>
      <c r="F50" s="41"/>
      <c r="G50" s="41">
        <v>410.62</v>
      </c>
      <c r="H50" s="41"/>
      <c r="I50" s="41"/>
      <c r="J50" s="41"/>
      <c r="K50" s="41"/>
      <c r="L50" s="41"/>
      <c r="M50" s="41">
        <f t="shared" si="5"/>
        <v>2737.48</v>
      </c>
      <c r="N50" s="41">
        <f t="shared" si="4"/>
        <v>3148.1</v>
      </c>
      <c r="O50" s="7" t="s">
        <v>60</v>
      </c>
      <c r="P50" s="7"/>
      <c r="Q50" s="7"/>
      <c r="R50" s="7">
        <v>3331</v>
      </c>
      <c r="S50" s="7">
        <f t="shared" si="2"/>
        <v>3331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30" customHeight="1">
      <c r="A51" s="7">
        <v>14</v>
      </c>
      <c r="B51" s="47" t="s">
        <v>61</v>
      </c>
      <c r="C51" s="40">
        <v>1</v>
      </c>
      <c r="D51" s="40">
        <v>11</v>
      </c>
      <c r="E51" s="41">
        <v>2737.48</v>
      </c>
      <c r="F51" s="41"/>
      <c r="G51" s="41">
        <v>410.62</v>
      </c>
      <c r="H51" s="41"/>
      <c r="I51" s="41"/>
      <c r="J51" s="41"/>
      <c r="K51" s="41"/>
      <c r="L51" s="41"/>
      <c r="M51" s="41">
        <f t="shared" si="5"/>
        <v>2737.48</v>
      </c>
      <c r="N51" s="41">
        <f t="shared" si="4"/>
        <v>3148.1</v>
      </c>
      <c r="O51" s="7" t="s">
        <v>62</v>
      </c>
      <c r="P51" s="7" t="s">
        <v>194</v>
      </c>
      <c r="Q51" s="7">
        <v>1</v>
      </c>
      <c r="R51" s="7">
        <f>LOOKUP(P51,массивы!$A$1:$B$12)</f>
        <v>4000</v>
      </c>
      <c r="S51" s="7">
        <f t="shared" si="2"/>
        <v>4000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30" customHeight="1">
      <c r="A52" s="7">
        <v>15</v>
      </c>
      <c r="B52" s="47" t="s">
        <v>124</v>
      </c>
      <c r="C52" s="40">
        <v>1</v>
      </c>
      <c r="D52" s="40">
        <v>13</v>
      </c>
      <c r="E52" s="41">
        <v>3196.58</v>
      </c>
      <c r="F52" s="41"/>
      <c r="G52" s="41">
        <v>479.49</v>
      </c>
      <c r="H52" s="41"/>
      <c r="I52" s="41"/>
      <c r="J52" s="41"/>
      <c r="K52" s="41"/>
      <c r="L52" s="41"/>
      <c r="M52" s="41">
        <f t="shared" si="5"/>
        <v>3196.58</v>
      </c>
      <c r="N52" s="41">
        <f t="shared" si="4"/>
        <v>3676.0699999999997</v>
      </c>
      <c r="O52" s="7" t="s">
        <v>125</v>
      </c>
      <c r="P52" s="7"/>
      <c r="Q52" s="7"/>
      <c r="R52" s="7">
        <v>3331</v>
      </c>
      <c r="S52" s="7">
        <f t="shared" si="2"/>
        <v>3331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30" customHeight="1">
      <c r="A53" s="49"/>
      <c r="B53" s="44" t="s">
        <v>21</v>
      </c>
      <c r="C53" s="45">
        <f>SUM(C38:C52)</f>
        <v>23</v>
      </c>
      <c r="D53" s="45"/>
      <c r="E53" s="46"/>
      <c r="F53" s="46">
        <f>SUM(F38:F51)</f>
        <v>0</v>
      </c>
      <c r="G53" s="46">
        <f>SUM(G38:G52)</f>
        <v>9184.45</v>
      </c>
      <c r="H53" s="46">
        <f>SUM(H38:H51)</f>
        <v>0</v>
      </c>
      <c r="I53" s="46">
        <f>SUM(I38:I51)</f>
        <v>4019.62</v>
      </c>
      <c r="J53" s="46"/>
      <c r="K53" s="46"/>
      <c r="L53" s="46">
        <f>SUM(L38:L52)</f>
        <v>3110.2000000000003</v>
      </c>
      <c r="M53" s="46">
        <f>SUM(M38:M52)</f>
        <v>61229.50000000001</v>
      </c>
      <c r="N53" s="46">
        <f>SUM(N38:N52)</f>
        <v>77543.77000000002</v>
      </c>
      <c r="O53" s="7"/>
      <c r="P53" s="7"/>
      <c r="Q53" s="7"/>
      <c r="R53" s="7"/>
      <c r="S53" s="7">
        <f t="shared" si="2"/>
        <v>0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30" customHeight="1">
      <c r="A54" s="92" t="s">
        <v>22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/>
      <c r="P54" s="7"/>
      <c r="Q54" s="7"/>
      <c r="R54" s="7"/>
      <c r="S54" s="7">
        <f t="shared" si="2"/>
        <v>0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30" customHeight="1">
      <c r="A55" s="7">
        <v>1</v>
      </c>
      <c r="B55" s="47" t="s">
        <v>114</v>
      </c>
      <c r="C55" s="40">
        <v>1</v>
      </c>
      <c r="D55" s="40">
        <v>2</v>
      </c>
      <c r="E55" s="41">
        <v>1269.84</v>
      </c>
      <c r="F55" s="41"/>
      <c r="G55" s="41">
        <v>190.48</v>
      </c>
      <c r="H55" s="41"/>
      <c r="I55" s="41"/>
      <c r="J55" s="41"/>
      <c r="K55" s="41"/>
      <c r="L55" s="41">
        <v>839.68</v>
      </c>
      <c r="M55" s="41">
        <f>E55</f>
        <v>1269.84</v>
      </c>
      <c r="N55" s="41">
        <f>G55+H55+I55+K55+L55+M55</f>
        <v>2300</v>
      </c>
      <c r="O55" s="7" t="s">
        <v>63</v>
      </c>
      <c r="P55" s="7" t="s">
        <v>190</v>
      </c>
      <c r="Q55" s="7">
        <v>1</v>
      </c>
      <c r="R55" s="7">
        <f>LOOKUP(P55,массивы!$A$1:$B$12)</f>
        <v>4100</v>
      </c>
      <c r="S55" s="7">
        <f t="shared" si="2"/>
        <v>4100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30" customHeight="1">
      <c r="A56" s="7">
        <v>2</v>
      </c>
      <c r="B56" s="47" t="s">
        <v>115</v>
      </c>
      <c r="C56" s="40">
        <v>2</v>
      </c>
      <c r="D56" s="40">
        <v>1</v>
      </c>
      <c r="E56" s="41">
        <v>1221</v>
      </c>
      <c r="F56" s="41"/>
      <c r="G56" s="41">
        <f>183.15*C56</f>
        <v>366.3</v>
      </c>
      <c r="H56" s="41"/>
      <c r="I56" s="41"/>
      <c r="J56" s="41"/>
      <c r="K56" s="41"/>
      <c r="L56" s="41">
        <f>895.85*C56</f>
        <v>1791.7</v>
      </c>
      <c r="M56" s="41">
        <f>E56*C56</f>
        <v>2442</v>
      </c>
      <c r="N56" s="41">
        <f aca="true" t="shared" si="6" ref="N56:N66">G56+H56+I56+K56+L56+M56</f>
        <v>4600</v>
      </c>
      <c r="O56" s="7"/>
      <c r="P56" s="7"/>
      <c r="Q56" s="7"/>
      <c r="R56" s="7">
        <v>3331</v>
      </c>
      <c r="S56" s="7">
        <f t="shared" si="2"/>
        <v>6662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30" customHeight="1">
      <c r="A57" s="7">
        <v>3</v>
      </c>
      <c r="B57" s="47" t="s">
        <v>116</v>
      </c>
      <c r="C57" s="40">
        <v>5</v>
      </c>
      <c r="D57" s="40">
        <v>4</v>
      </c>
      <c r="E57" s="41">
        <v>1394.38</v>
      </c>
      <c r="F57" s="41"/>
      <c r="G57" s="41">
        <f>209.16*C57</f>
        <v>1045.8</v>
      </c>
      <c r="H57" s="41">
        <f>488.03*C57</f>
        <v>2440.1499999999996</v>
      </c>
      <c r="I57" s="41"/>
      <c r="J57" s="41"/>
      <c r="K57" s="41"/>
      <c r="L57" s="41">
        <f>208.43*C57</f>
        <v>1042.15</v>
      </c>
      <c r="M57" s="41">
        <f>E57*C57</f>
        <v>6971.900000000001</v>
      </c>
      <c r="N57" s="41">
        <f t="shared" si="6"/>
        <v>11500</v>
      </c>
      <c r="O57" s="48" t="s">
        <v>67</v>
      </c>
      <c r="P57" s="7" t="s">
        <v>188</v>
      </c>
      <c r="Q57" s="7">
        <v>1</v>
      </c>
      <c r="R57" s="7">
        <f>LOOKUP(P57,массивы!$A$1:$B$12)</f>
        <v>1000</v>
      </c>
      <c r="S57" s="7">
        <f t="shared" si="2"/>
        <v>5000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30" customHeight="1">
      <c r="A58" s="7">
        <v>4</v>
      </c>
      <c r="B58" s="47" t="s">
        <v>117</v>
      </c>
      <c r="C58" s="40">
        <v>2</v>
      </c>
      <c r="D58" s="40">
        <v>1</v>
      </c>
      <c r="E58" s="41">
        <v>1221</v>
      </c>
      <c r="F58" s="41"/>
      <c r="G58" s="41">
        <f>183.15*C58</f>
        <v>366.3</v>
      </c>
      <c r="H58" s="41"/>
      <c r="I58" s="41"/>
      <c r="J58" s="41"/>
      <c r="K58" s="41"/>
      <c r="L58" s="41">
        <f>895.85*C58</f>
        <v>1791.7</v>
      </c>
      <c r="M58" s="41">
        <f>E58*C58</f>
        <v>2442</v>
      </c>
      <c r="N58" s="41">
        <f t="shared" si="6"/>
        <v>4600</v>
      </c>
      <c r="O58" s="7" t="s">
        <v>64</v>
      </c>
      <c r="P58" s="7" t="s">
        <v>190</v>
      </c>
      <c r="Q58" s="7">
        <v>1</v>
      </c>
      <c r="R58" s="7">
        <f>LOOKUP(P58,массивы!$A$1:$B$12)</f>
        <v>4100</v>
      </c>
      <c r="S58" s="7">
        <f t="shared" si="2"/>
        <v>8200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30" customHeight="1">
      <c r="A59" s="7">
        <v>5</v>
      </c>
      <c r="B59" s="47" t="s">
        <v>118</v>
      </c>
      <c r="C59" s="40">
        <v>1</v>
      </c>
      <c r="D59" s="40">
        <v>4</v>
      </c>
      <c r="E59" s="41">
        <v>1394.38</v>
      </c>
      <c r="F59" s="41"/>
      <c r="G59" s="41">
        <v>209.16</v>
      </c>
      <c r="H59" s="41">
        <v>348.6</v>
      </c>
      <c r="I59" s="41"/>
      <c r="J59" s="41"/>
      <c r="K59" s="41"/>
      <c r="L59" s="41">
        <v>696.46</v>
      </c>
      <c r="M59" s="41">
        <f>E59</f>
        <v>1394.38</v>
      </c>
      <c r="N59" s="41">
        <f t="shared" si="6"/>
        <v>2648.6000000000004</v>
      </c>
      <c r="O59" s="7" t="s">
        <v>66</v>
      </c>
      <c r="P59" s="7" t="s">
        <v>199</v>
      </c>
      <c r="Q59" s="7">
        <v>1</v>
      </c>
      <c r="R59" s="7">
        <f>LOOKUP(P59,массивы!$A$1:$B$12)</f>
        <v>4100</v>
      </c>
      <c r="S59" s="7">
        <f t="shared" si="2"/>
        <v>4100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30" customHeight="1">
      <c r="A60" s="7">
        <v>6</v>
      </c>
      <c r="B60" s="47" t="s">
        <v>119</v>
      </c>
      <c r="C60" s="40">
        <v>15</v>
      </c>
      <c r="D60" s="40">
        <v>1</v>
      </c>
      <c r="E60" s="41">
        <v>1221</v>
      </c>
      <c r="F60" s="41"/>
      <c r="G60" s="41">
        <f>183.15*C60</f>
        <v>2747.25</v>
      </c>
      <c r="H60" s="41"/>
      <c r="I60" s="41"/>
      <c r="J60" s="41"/>
      <c r="K60" s="41"/>
      <c r="L60" s="41">
        <f>895.85*C60</f>
        <v>13437.75</v>
      </c>
      <c r="M60" s="41">
        <f>E60*C60</f>
        <v>18315</v>
      </c>
      <c r="N60" s="41">
        <f t="shared" si="6"/>
        <v>34500</v>
      </c>
      <c r="O60" s="7"/>
      <c r="P60" s="7" t="s">
        <v>190</v>
      </c>
      <c r="Q60" s="7">
        <v>1</v>
      </c>
      <c r="R60" s="7">
        <f>LOOKUP(P60,массивы!$A$1:$B$12)</f>
        <v>4100</v>
      </c>
      <c r="S60" s="7">
        <f t="shared" si="2"/>
        <v>61500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30" customHeight="1">
      <c r="A61" s="7">
        <v>7</v>
      </c>
      <c r="B61" s="47" t="s">
        <v>122</v>
      </c>
      <c r="C61" s="40">
        <v>2</v>
      </c>
      <c r="D61" s="40">
        <v>4</v>
      </c>
      <c r="E61" s="41">
        <v>1394.38</v>
      </c>
      <c r="F61" s="41"/>
      <c r="G61" s="41">
        <f>209.16*C61</f>
        <v>418.32</v>
      </c>
      <c r="H61" s="41"/>
      <c r="I61" s="41"/>
      <c r="J61" s="41"/>
      <c r="K61" s="41"/>
      <c r="L61" s="41">
        <f>696.46*C61</f>
        <v>1392.92</v>
      </c>
      <c r="M61" s="41">
        <f>E61*C61</f>
        <v>2788.76</v>
      </c>
      <c r="N61" s="41">
        <f t="shared" si="6"/>
        <v>4600</v>
      </c>
      <c r="O61" s="7" t="s">
        <v>69</v>
      </c>
      <c r="P61" s="7" t="s">
        <v>190</v>
      </c>
      <c r="Q61" s="7">
        <v>1</v>
      </c>
      <c r="R61" s="7">
        <f>LOOKUP(P61,массивы!$A$1:$B$12)</f>
        <v>4100</v>
      </c>
      <c r="S61" s="7">
        <f t="shared" si="2"/>
        <v>8200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30" customHeight="1">
      <c r="A62" s="7">
        <v>8</v>
      </c>
      <c r="B62" s="47" t="s">
        <v>122</v>
      </c>
      <c r="C62" s="40">
        <v>1</v>
      </c>
      <c r="D62" s="40">
        <v>3</v>
      </c>
      <c r="E62" s="41">
        <v>1330.89</v>
      </c>
      <c r="F62" s="41"/>
      <c r="G62" s="41">
        <v>199.63</v>
      </c>
      <c r="H62" s="41"/>
      <c r="I62" s="41"/>
      <c r="J62" s="41"/>
      <c r="K62" s="41"/>
      <c r="L62" s="41">
        <v>769.48</v>
      </c>
      <c r="M62" s="41">
        <f>E62</f>
        <v>1330.89</v>
      </c>
      <c r="N62" s="41">
        <f t="shared" si="6"/>
        <v>2300</v>
      </c>
      <c r="O62" s="7" t="s">
        <v>75</v>
      </c>
      <c r="P62" s="7" t="s">
        <v>190</v>
      </c>
      <c r="Q62" s="7">
        <v>1</v>
      </c>
      <c r="R62" s="7">
        <f>LOOKUP(P62,массивы!$A$1:$B$12)</f>
        <v>4100</v>
      </c>
      <c r="S62" s="7">
        <f t="shared" si="2"/>
        <v>4100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30" customHeight="1">
      <c r="A63" s="7">
        <v>9</v>
      </c>
      <c r="B63" s="47" t="s">
        <v>120</v>
      </c>
      <c r="C63" s="40">
        <v>1</v>
      </c>
      <c r="D63" s="40">
        <v>4</v>
      </c>
      <c r="E63" s="41">
        <v>1394.38</v>
      </c>
      <c r="F63" s="41"/>
      <c r="G63" s="41">
        <v>209.16</v>
      </c>
      <c r="H63" s="41"/>
      <c r="I63" s="41"/>
      <c r="J63" s="41"/>
      <c r="K63" s="41"/>
      <c r="L63" s="41">
        <v>696.46</v>
      </c>
      <c r="M63" s="41">
        <f>E63</f>
        <v>1394.38</v>
      </c>
      <c r="N63" s="41">
        <f t="shared" si="6"/>
        <v>2300</v>
      </c>
      <c r="O63" s="7" t="s">
        <v>71</v>
      </c>
      <c r="P63" s="7" t="s">
        <v>188</v>
      </c>
      <c r="Q63" s="7">
        <v>1</v>
      </c>
      <c r="R63" s="7">
        <f>LOOKUP(P63,массивы!$A$1:$B$12)</f>
        <v>1000</v>
      </c>
      <c r="S63" s="7">
        <f t="shared" si="2"/>
        <v>1000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30" customHeight="1">
      <c r="A64" s="7">
        <v>10</v>
      </c>
      <c r="B64" s="47" t="s">
        <v>70</v>
      </c>
      <c r="C64" s="40">
        <v>2</v>
      </c>
      <c r="D64" s="40">
        <v>6</v>
      </c>
      <c r="E64" s="41">
        <v>1717.95</v>
      </c>
      <c r="F64" s="41"/>
      <c r="G64" s="41">
        <f>257.69*C64</f>
        <v>515.38</v>
      </c>
      <c r="H64" s="41"/>
      <c r="I64" s="41"/>
      <c r="J64" s="41"/>
      <c r="K64" s="41">
        <f>1717.95*C64</f>
        <v>3435.9</v>
      </c>
      <c r="L64" s="41"/>
      <c r="M64" s="41">
        <f>E64*C64</f>
        <v>3435.9</v>
      </c>
      <c r="N64" s="41">
        <f t="shared" si="6"/>
        <v>7387.18</v>
      </c>
      <c r="O64" s="7" t="s">
        <v>72</v>
      </c>
      <c r="P64" s="7"/>
      <c r="Q64" s="7"/>
      <c r="R64" s="7">
        <v>3331</v>
      </c>
      <c r="S64" s="7">
        <f t="shared" si="2"/>
        <v>6662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30" customHeight="1">
      <c r="A65" s="7">
        <v>11</v>
      </c>
      <c r="B65" s="47" t="s">
        <v>68</v>
      </c>
      <c r="C65" s="40">
        <v>1</v>
      </c>
      <c r="D65" s="40">
        <v>6</v>
      </c>
      <c r="E65" s="41">
        <v>1717.95</v>
      </c>
      <c r="F65" s="41"/>
      <c r="G65" s="41">
        <v>257.69</v>
      </c>
      <c r="H65" s="41"/>
      <c r="I65" s="41"/>
      <c r="J65" s="41"/>
      <c r="K65" s="41"/>
      <c r="L65" s="41">
        <v>324.36</v>
      </c>
      <c r="M65" s="41">
        <f>E65</f>
        <v>1717.95</v>
      </c>
      <c r="N65" s="41">
        <f t="shared" si="6"/>
        <v>2300</v>
      </c>
      <c r="O65" s="7"/>
      <c r="P65" s="7"/>
      <c r="Q65" s="7"/>
      <c r="R65" s="7">
        <v>3331</v>
      </c>
      <c r="S65" s="7">
        <f t="shared" si="2"/>
        <v>3331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30" customHeight="1">
      <c r="A66" s="7">
        <v>12</v>
      </c>
      <c r="B66" s="47" t="s">
        <v>121</v>
      </c>
      <c r="C66" s="40">
        <v>2</v>
      </c>
      <c r="D66" s="40">
        <v>1</v>
      </c>
      <c r="E66" s="41">
        <v>1221</v>
      </c>
      <c r="F66" s="41"/>
      <c r="G66" s="41">
        <f>183.15*C66</f>
        <v>366.3</v>
      </c>
      <c r="H66" s="41"/>
      <c r="I66" s="41"/>
      <c r="J66" s="41"/>
      <c r="K66" s="41"/>
      <c r="L66" s="41">
        <f>895.85*C66</f>
        <v>1791.7</v>
      </c>
      <c r="M66" s="41">
        <f>E66*C66</f>
        <v>2442</v>
      </c>
      <c r="N66" s="41">
        <f t="shared" si="6"/>
        <v>4600</v>
      </c>
      <c r="O66" s="7" t="s">
        <v>73</v>
      </c>
      <c r="P66" s="7" t="s">
        <v>190</v>
      </c>
      <c r="Q66" s="7">
        <v>1</v>
      </c>
      <c r="R66" s="7">
        <f>LOOKUP(P66,массивы!A1:B12)</f>
        <v>4100</v>
      </c>
      <c r="S66" s="7">
        <f t="shared" si="2"/>
        <v>8200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30" customHeight="1">
      <c r="A67" s="50"/>
      <c r="B67" s="44" t="s">
        <v>21</v>
      </c>
      <c r="C67" s="45">
        <f>SUM(C55:C66)</f>
        <v>35</v>
      </c>
      <c r="D67" s="45"/>
      <c r="E67" s="46"/>
      <c r="F67" s="46">
        <f aca="true" t="shared" si="7" ref="F67:N67">SUM(F55:F66)</f>
        <v>0</v>
      </c>
      <c r="G67" s="46">
        <f t="shared" si="7"/>
        <v>6891.7699999999995</v>
      </c>
      <c r="H67" s="46">
        <f t="shared" si="7"/>
        <v>2788.7499999999995</v>
      </c>
      <c r="I67" s="46">
        <f t="shared" si="7"/>
        <v>0</v>
      </c>
      <c r="J67" s="46">
        <f t="shared" si="7"/>
        <v>0</v>
      </c>
      <c r="K67" s="46">
        <f t="shared" si="7"/>
        <v>3435.9</v>
      </c>
      <c r="L67" s="46">
        <f t="shared" si="7"/>
        <v>24574.36</v>
      </c>
      <c r="M67" s="46">
        <f t="shared" si="7"/>
        <v>45945</v>
      </c>
      <c r="N67" s="46">
        <f t="shared" si="7"/>
        <v>83635.78</v>
      </c>
      <c r="O67" s="7"/>
      <c r="P67" s="7"/>
      <c r="Q67" s="7"/>
      <c r="R67" s="7"/>
      <c r="S67" s="7">
        <f t="shared" si="2"/>
        <v>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30" customHeight="1">
      <c r="A68" s="7"/>
      <c r="B68" s="51" t="s">
        <v>23</v>
      </c>
      <c r="C68" s="52">
        <f>C36+C53+C67</f>
        <v>86</v>
      </c>
      <c r="D68" s="52"/>
      <c r="E68" s="53"/>
      <c r="F68" s="53">
        <f aca="true" t="shared" si="8" ref="F68:N68">F36+F53+F67</f>
        <v>5173.01</v>
      </c>
      <c r="G68" s="53">
        <f t="shared" si="8"/>
        <v>27805.67</v>
      </c>
      <c r="H68" s="53">
        <f t="shared" si="8"/>
        <v>3562.8699999999994</v>
      </c>
      <c r="I68" s="53">
        <f t="shared" si="8"/>
        <v>4019.62</v>
      </c>
      <c r="J68" s="53">
        <f t="shared" si="8"/>
        <v>0</v>
      </c>
      <c r="K68" s="53">
        <f t="shared" si="8"/>
        <v>3435.9</v>
      </c>
      <c r="L68" s="53">
        <f t="shared" si="8"/>
        <v>31137.510000000002</v>
      </c>
      <c r="M68" s="53">
        <f t="shared" si="8"/>
        <v>185371.02</v>
      </c>
      <c r="N68" s="53">
        <f t="shared" si="8"/>
        <v>260505.60000000003</v>
      </c>
      <c r="O68" s="7"/>
      <c r="P68" s="7"/>
      <c r="Q68" s="7"/>
      <c r="R68" s="7">
        <f>SUM(R8:R67)</f>
        <v>160879</v>
      </c>
      <c r="S68" s="7">
        <f>SUM(S8:S67)</f>
        <v>267741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71" ht="12.75" hidden="1"/>
    <row r="72" ht="12.75" hidden="1"/>
    <row r="73" ht="12.75" hidden="1">
      <c r="B73" t="s">
        <v>168</v>
      </c>
    </row>
    <row r="74" ht="12.75" hidden="1">
      <c r="B74" t="s">
        <v>169</v>
      </c>
    </row>
    <row r="75" ht="12.75" hidden="1">
      <c r="B75" t="s">
        <v>170</v>
      </c>
    </row>
    <row r="76" ht="12.75" hidden="1">
      <c r="B76" t="s">
        <v>171</v>
      </c>
    </row>
    <row r="77" ht="12.75" hidden="1">
      <c r="B77" t="s">
        <v>172</v>
      </c>
    </row>
    <row r="78" ht="12.75" hidden="1">
      <c r="B78" t="s">
        <v>173</v>
      </c>
    </row>
    <row r="79" ht="12.75" hidden="1"/>
    <row r="80" ht="12.75" hidden="1"/>
    <row r="81" ht="12.75" hidden="1"/>
    <row r="82" spans="2:14" ht="12.75" hidden="1">
      <c r="B82" s="78" t="s">
        <v>174</v>
      </c>
      <c r="C82" s="78"/>
      <c r="D82" s="78"/>
      <c r="E82" s="78"/>
      <c r="F82" s="78"/>
      <c r="G82" s="78"/>
      <c r="H82" s="78">
        <v>1</v>
      </c>
      <c r="I82" s="78"/>
      <c r="J82" s="78"/>
      <c r="K82" s="78"/>
      <c r="L82" s="78"/>
      <c r="M82" s="78"/>
      <c r="N82" s="78"/>
    </row>
    <row r="83" spans="2:14" ht="12.75" hidden="1">
      <c r="B83" s="82" t="s">
        <v>175</v>
      </c>
      <c r="C83" s="83"/>
      <c r="D83" s="83"/>
      <c r="E83" s="83"/>
      <c r="F83" s="83"/>
      <c r="G83" s="84"/>
      <c r="H83" s="78">
        <v>1</v>
      </c>
      <c r="I83" s="78"/>
      <c r="J83" s="78"/>
      <c r="K83" s="78"/>
      <c r="L83" s="78"/>
      <c r="M83" s="78"/>
      <c r="N83" s="78"/>
    </row>
    <row r="84" spans="2:14" ht="12.75" hidden="1">
      <c r="B84" s="78" t="s">
        <v>176</v>
      </c>
      <c r="C84" s="78"/>
      <c r="D84" s="78"/>
      <c r="E84" s="78"/>
      <c r="F84" s="78"/>
      <c r="G84" s="78"/>
      <c r="H84" s="78">
        <v>7</v>
      </c>
      <c r="I84" s="78"/>
      <c r="J84" s="78"/>
      <c r="K84" s="78"/>
      <c r="L84" s="78"/>
      <c r="M84" s="78"/>
      <c r="N84" s="78"/>
    </row>
    <row r="85" spans="2:14" ht="12.75" hidden="1">
      <c r="B85" s="78" t="s">
        <v>177</v>
      </c>
      <c r="C85" s="78"/>
      <c r="D85" s="78"/>
      <c r="E85" s="78"/>
      <c r="F85" s="78"/>
      <c r="G85" s="78"/>
      <c r="H85" s="78">
        <v>34</v>
      </c>
      <c r="I85" s="78"/>
      <c r="J85" s="78"/>
      <c r="K85" s="78"/>
      <c r="L85" s="78"/>
      <c r="M85" s="78"/>
      <c r="N85" s="78"/>
    </row>
    <row r="86" spans="2:14" ht="12.75" hidden="1">
      <c r="B86" s="78" t="s">
        <v>178</v>
      </c>
      <c r="C86" s="78"/>
      <c r="D86" s="78"/>
      <c r="E86" s="78"/>
      <c r="F86" s="78"/>
      <c r="G86" s="78"/>
      <c r="H86" s="78">
        <v>10</v>
      </c>
      <c r="I86" s="78"/>
      <c r="J86" s="78"/>
      <c r="K86" s="78"/>
      <c r="L86" s="78"/>
      <c r="M86" s="78"/>
      <c r="N86" s="78"/>
    </row>
    <row r="87" spans="2:14" ht="12.75" hidden="1">
      <c r="B87" s="78" t="s">
        <v>179</v>
      </c>
      <c r="C87" s="78"/>
      <c r="D87" s="78"/>
      <c r="E87" s="78"/>
      <c r="F87" s="78"/>
      <c r="G87" s="78"/>
      <c r="H87" s="78">
        <v>10</v>
      </c>
      <c r="I87" s="78"/>
      <c r="J87" s="78"/>
      <c r="K87" s="78"/>
      <c r="L87" s="78"/>
      <c r="M87" s="78"/>
      <c r="N87" s="78"/>
    </row>
    <row r="88" spans="2:14" ht="12.75" hidden="1">
      <c r="B88" s="78" t="s">
        <v>180</v>
      </c>
      <c r="C88" s="78"/>
      <c r="D88" s="78"/>
      <c r="E88" s="78"/>
      <c r="F88" s="78"/>
      <c r="G88" s="78"/>
      <c r="H88" s="78">
        <v>4</v>
      </c>
      <c r="I88" s="78"/>
      <c r="J88" s="78"/>
      <c r="K88" s="78"/>
      <c r="L88" s="78"/>
      <c r="M88" s="78"/>
      <c r="N88" s="78"/>
    </row>
    <row r="89" spans="2:14" ht="12.75" hidden="1">
      <c r="B89" s="78" t="s">
        <v>181</v>
      </c>
      <c r="C89" s="78"/>
      <c r="D89" s="78"/>
      <c r="E89" s="78"/>
      <c r="F89" s="78"/>
      <c r="G89" s="78"/>
      <c r="H89" s="78">
        <v>2</v>
      </c>
      <c r="I89" s="78"/>
      <c r="J89" s="78"/>
      <c r="K89" s="78"/>
      <c r="L89" s="78"/>
      <c r="M89" s="78"/>
      <c r="N89" s="78"/>
    </row>
    <row r="90" spans="2:14" ht="12.75" hidden="1">
      <c r="B90" s="78" t="s">
        <v>182</v>
      </c>
      <c r="C90" s="78"/>
      <c r="D90" s="78"/>
      <c r="E90" s="78"/>
      <c r="F90" s="78"/>
      <c r="G90" s="78"/>
      <c r="H90" s="78">
        <v>5</v>
      </c>
      <c r="I90" s="78"/>
      <c r="J90" s="78"/>
      <c r="K90" s="78"/>
      <c r="L90" s="78"/>
      <c r="M90" s="78"/>
      <c r="N90" s="78"/>
    </row>
    <row r="91" spans="2:14" ht="12.75" hidden="1">
      <c r="B91" s="78" t="s">
        <v>183</v>
      </c>
      <c r="C91" s="78"/>
      <c r="D91" s="78"/>
      <c r="E91" s="78"/>
      <c r="F91" s="78"/>
      <c r="G91" s="78"/>
      <c r="H91" s="78">
        <v>1</v>
      </c>
      <c r="I91" s="78"/>
      <c r="J91" s="78"/>
      <c r="K91" s="78"/>
      <c r="L91" s="78"/>
      <c r="M91" s="78"/>
      <c r="N91" s="78"/>
    </row>
    <row r="92" spans="2:14" ht="12.75" hidden="1">
      <c r="B92" s="78" t="s">
        <v>184</v>
      </c>
      <c r="C92" s="78"/>
      <c r="D92" s="78"/>
      <c r="E92" s="78"/>
      <c r="F92" s="78"/>
      <c r="G92" s="78"/>
      <c r="H92" s="78">
        <v>12.5</v>
      </c>
      <c r="I92" s="78"/>
      <c r="J92" s="78"/>
      <c r="K92" s="78"/>
      <c r="L92" s="78"/>
      <c r="M92" s="78"/>
      <c r="N92" s="78"/>
    </row>
    <row r="93" spans="2:14" ht="12.75" hidden="1">
      <c r="B93" s="78" t="s">
        <v>185</v>
      </c>
      <c r="C93" s="78"/>
      <c r="D93" s="78"/>
      <c r="E93" s="78"/>
      <c r="F93" s="78"/>
      <c r="G93" s="78"/>
      <c r="H93" s="78">
        <v>1</v>
      </c>
      <c r="I93" s="78"/>
      <c r="J93" s="78"/>
      <c r="K93" s="78"/>
      <c r="L93" s="78"/>
      <c r="M93" s="78"/>
      <c r="N93" s="78"/>
    </row>
    <row r="94" spans="2:14" ht="12.75" hidden="1">
      <c r="B94" s="78" t="s">
        <v>186</v>
      </c>
      <c r="C94" s="78"/>
      <c r="D94" s="78"/>
      <c r="E94" s="78"/>
      <c r="F94" s="78"/>
      <c r="G94" s="78"/>
      <c r="H94" s="78">
        <v>5</v>
      </c>
      <c r="I94" s="78"/>
      <c r="J94" s="78"/>
      <c r="K94" s="78"/>
      <c r="L94" s="78"/>
      <c r="M94" s="78"/>
      <c r="N94" s="78"/>
    </row>
    <row r="95" spans="2:14" ht="12.75" hidden="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2:14" ht="12.75" hidden="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2:14" ht="12.75" hidden="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ht="12.75" hidden="1"/>
    <row r="99" ht="12.75" hidden="1">
      <c r="B99" t="s">
        <v>187</v>
      </c>
    </row>
    <row r="100" spans="2:14" ht="12.75" hidden="1">
      <c r="B100" s="78" t="s">
        <v>188</v>
      </c>
      <c r="C100" s="78"/>
      <c r="D100" s="78"/>
      <c r="E100" s="78"/>
      <c r="F100" s="78"/>
      <c r="G100" s="78"/>
      <c r="H100" s="78">
        <v>1</v>
      </c>
      <c r="I100" s="78"/>
      <c r="J100" s="78"/>
      <c r="K100" s="78"/>
      <c r="L100" s="78"/>
      <c r="M100" s="78"/>
      <c r="N100" s="78"/>
    </row>
    <row r="101" spans="2:14" ht="12.75" hidden="1">
      <c r="B101" s="78" t="s">
        <v>189</v>
      </c>
      <c r="C101" s="78"/>
      <c r="D101" s="78"/>
      <c r="E101" s="78"/>
      <c r="F101" s="78"/>
      <c r="G101" s="78"/>
      <c r="H101" s="78">
        <v>1</v>
      </c>
      <c r="I101" s="78"/>
      <c r="J101" s="78"/>
      <c r="K101" s="78"/>
      <c r="L101" s="78"/>
      <c r="M101" s="78"/>
      <c r="N101" s="78"/>
    </row>
    <row r="102" spans="2:14" ht="12.75" hidden="1">
      <c r="B102" s="82" t="s">
        <v>176</v>
      </c>
      <c r="C102" s="83"/>
      <c r="D102" s="83"/>
      <c r="E102" s="83"/>
      <c r="F102" s="83"/>
      <c r="G102" s="84"/>
      <c r="H102" s="78">
        <v>2</v>
      </c>
      <c r="I102" s="78"/>
      <c r="J102" s="78"/>
      <c r="K102" s="78"/>
      <c r="L102" s="78"/>
      <c r="M102" s="78"/>
      <c r="N102" s="78"/>
    </row>
    <row r="103" spans="2:14" ht="12.75" hidden="1">
      <c r="B103" s="78" t="s">
        <v>178</v>
      </c>
      <c r="C103" s="78"/>
      <c r="D103" s="78"/>
      <c r="E103" s="78"/>
      <c r="F103" s="78"/>
      <c r="G103" s="78"/>
      <c r="H103" s="78">
        <v>1</v>
      </c>
      <c r="I103" s="78"/>
      <c r="J103" s="78"/>
      <c r="K103" s="78"/>
      <c r="L103" s="78"/>
      <c r="M103" s="78"/>
      <c r="N103" s="78"/>
    </row>
    <row r="104" spans="2:14" ht="12.75" hidden="1">
      <c r="B104" s="78" t="s">
        <v>190</v>
      </c>
      <c r="C104" s="78"/>
      <c r="D104" s="78"/>
      <c r="E104" s="78"/>
      <c r="F104" s="78"/>
      <c r="G104" s="78"/>
      <c r="H104" s="78">
        <f>1.5+1.5</f>
        <v>3</v>
      </c>
      <c r="I104" s="78"/>
      <c r="J104" s="78"/>
      <c r="K104" s="78"/>
      <c r="L104" s="78"/>
      <c r="M104" s="78"/>
      <c r="N104" s="78"/>
    </row>
    <row r="105" spans="2:14" ht="12.75" hidden="1">
      <c r="B105" s="78" t="s">
        <v>186</v>
      </c>
      <c r="C105" s="78"/>
      <c r="D105" s="78"/>
      <c r="E105" s="78"/>
      <c r="F105" s="78"/>
      <c r="G105" s="78"/>
      <c r="H105" s="78">
        <v>1</v>
      </c>
      <c r="I105" s="78"/>
      <c r="J105" s="78"/>
      <c r="K105" s="78"/>
      <c r="L105" s="78"/>
      <c r="M105" s="78"/>
      <c r="N105" s="78"/>
    </row>
    <row r="106" spans="2:14" ht="12.75" hidden="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ht="12.75" hidden="1"/>
  </sheetData>
  <sheetProtection/>
  <autoFilter ref="A7:T68"/>
  <mergeCells count="81">
    <mergeCell ref="A54:N54"/>
    <mergeCell ref="A37:N37"/>
    <mergeCell ref="A6:N6"/>
    <mergeCell ref="E2:E4"/>
    <mergeCell ref="A2:A4"/>
    <mergeCell ref="B2:B4"/>
    <mergeCell ref="C2:C4"/>
    <mergeCell ref="D2:D4"/>
    <mergeCell ref="M2:M4"/>
    <mergeCell ref="N2:N4"/>
    <mergeCell ref="Z3:Z4"/>
    <mergeCell ref="AA3:AA4"/>
    <mergeCell ref="L3:L4"/>
    <mergeCell ref="F2:L2"/>
    <mergeCell ref="P2:P4"/>
    <mergeCell ref="Q2:Q4"/>
    <mergeCell ref="F3:F4"/>
    <mergeCell ref="G3:G4"/>
    <mergeCell ref="J3:J4"/>
    <mergeCell ref="K3:K4"/>
    <mergeCell ref="B83:G83"/>
    <mergeCell ref="H83:N83"/>
    <mergeCell ref="B84:G84"/>
    <mergeCell ref="H84:N84"/>
    <mergeCell ref="AD3:AD4"/>
    <mergeCell ref="AE3:AE4"/>
    <mergeCell ref="R2:R4"/>
    <mergeCell ref="T2:T4"/>
    <mergeCell ref="U2:U4"/>
    <mergeCell ref="W2:Z2"/>
    <mergeCell ref="AF3:AF4"/>
    <mergeCell ref="V2:V4"/>
    <mergeCell ref="B82:G82"/>
    <mergeCell ref="H82:N82"/>
    <mergeCell ref="AA2:AE2"/>
    <mergeCell ref="W3:W4"/>
    <mergeCell ref="AB3:AB4"/>
    <mergeCell ref="AC3:AC4"/>
    <mergeCell ref="X3:X4"/>
    <mergeCell ref="Y3:Y4"/>
    <mergeCell ref="B87:G87"/>
    <mergeCell ref="H87:N87"/>
    <mergeCell ref="B88:G88"/>
    <mergeCell ref="H88:N88"/>
    <mergeCell ref="B85:G85"/>
    <mergeCell ref="H85:N85"/>
    <mergeCell ref="B86:G86"/>
    <mergeCell ref="H86:N86"/>
    <mergeCell ref="B91:G91"/>
    <mergeCell ref="H91:N91"/>
    <mergeCell ref="B92:G92"/>
    <mergeCell ref="H92:N92"/>
    <mergeCell ref="B89:G89"/>
    <mergeCell ref="H89:N89"/>
    <mergeCell ref="B90:G90"/>
    <mergeCell ref="H90:N90"/>
    <mergeCell ref="B95:G95"/>
    <mergeCell ref="H95:N95"/>
    <mergeCell ref="B96:G96"/>
    <mergeCell ref="H96:N96"/>
    <mergeCell ref="B93:G93"/>
    <mergeCell ref="H93:N93"/>
    <mergeCell ref="B94:G94"/>
    <mergeCell ref="H94:N94"/>
    <mergeCell ref="B97:G97"/>
    <mergeCell ref="H97:N97"/>
    <mergeCell ref="H103:N103"/>
    <mergeCell ref="B100:G100"/>
    <mergeCell ref="H100:N100"/>
    <mergeCell ref="B101:G101"/>
    <mergeCell ref="H101:N101"/>
    <mergeCell ref="B106:G106"/>
    <mergeCell ref="H106:N106"/>
    <mergeCell ref="S2:S4"/>
    <mergeCell ref="B104:G104"/>
    <mergeCell ref="H104:N104"/>
    <mergeCell ref="B105:G105"/>
    <mergeCell ref="H105:N105"/>
    <mergeCell ref="B102:G102"/>
    <mergeCell ref="H102:N102"/>
    <mergeCell ref="B103:G103"/>
  </mergeCells>
  <printOptions/>
  <pageMargins left="0.5905511811023623" right="0" top="0.5905511811023623" bottom="0.5905511811023623" header="0.5118110236220472" footer="0.5118110236220472"/>
  <pageSetup fitToHeight="3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4">
      <selection activeCell="A1" sqref="A1"/>
    </sheetView>
  </sheetViews>
  <sheetFormatPr defaultColWidth="9.00390625" defaultRowHeight="12.75"/>
  <sheetData>
    <row r="1" spans="1:2" ht="12.75">
      <c r="A1" s="55" t="s">
        <v>174</v>
      </c>
      <c r="B1">
        <v>1200003</v>
      </c>
    </row>
    <row r="2" spans="1:2" ht="12.75">
      <c r="A2" s="55" t="s">
        <v>198</v>
      </c>
      <c r="B2">
        <v>1000</v>
      </c>
    </row>
    <row r="3" spans="1:2" ht="12.75">
      <c r="A3" s="55" t="s">
        <v>196</v>
      </c>
      <c r="B3">
        <v>4000</v>
      </c>
    </row>
    <row r="4" spans="1:2" ht="12.75">
      <c r="A4" s="55" t="s">
        <v>197</v>
      </c>
      <c r="B4">
        <v>4100</v>
      </c>
    </row>
    <row r="5" spans="1:2" ht="12.75">
      <c r="A5" s="55" t="s">
        <v>191</v>
      </c>
      <c r="B5">
        <v>4500</v>
      </c>
    </row>
    <row r="6" spans="1:2" ht="12.75">
      <c r="A6" s="55" t="s">
        <v>188</v>
      </c>
      <c r="B6">
        <v>1000</v>
      </c>
    </row>
    <row r="7" spans="1:2" ht="12.75">
      <c r="A7" s="55" t="s">
        <v>195</v>
      </c>
      <c r="B7">
        <v>2000</v>
      </c>
    </row>
    <row r="8" spans="1:2" ht="12.75">
      <c r="A8" s="55" t="s">
        <v>192</v>
      </c>
      <c r="B8">
        <v>3000</v>
      </c>
    </row>
    <row r="9" spans="1:2" ht="12.75">
      <c r="A9" s="55" t="s">
        <v>194</v>
      </c>
      <c r="B9">
        <v>4000</v>
      </c>
    </row>
    <row r="10" spans="1:2" ht="12.75">
      <c r="A10" s="55" t="s">
        <v>193</v>
      </c>
      <c r="B10">
        <v>400000</v>
      </c>
    </row>
    <row r="11" spans="1:2" ht="12.75">
      <c r="A11" s="55" t="s">
        <v>190</v>
      </c>
      <c r="B11">
        <v>2300</v>
      </c>
    </row>
    <row r="12" spans="1:2" ht="12.75">
      <c r="A12" s="55" t="s">
        <v>199</v>
      </c>
      <c r="B12">
        <v>2300</v>
      </c>
    </row>
    <row r="13" ht="12.75">
      <c r="A13" s="55" t="s">
        <v>186</v>
      </c>
    </row>
    <row r="14" ht="12.75">
      <c r="A14" s="55"/>
    </row>
    <row r="15" ht="12.75">
      <c r="A15" s="55"/>
    </row>
    <row r="21" spans="1:2" ht="12.75">
      <c r="A21">
        <v>0</v>
      </c>
      <c r="B21">
        <v>0</v>
      </c>
    </row>
    <row r="22" spans="1:2" ht="12.75">
      <c r="A22">
        <v>1</v>
      </c>
      <c r="B22">
        <v>0</v>
      </c>
    </row>
    <row r="23" spans="1:2" ht="12.75">
      <c r="A23">
        <v>2</v>
      </c>
      <c r="B23">
        <v>0</v>
      </c>
    </row>
    <row r="24" spans="1:2" ht="12.75">
      <c r="A24">
        <v>3</v>
      </c>
      <c r="B24">
        <v>5</v>
      </c>
    </row>
    <row r="25" spans="1:2" ht="12.75">
      <c r="A25">
        <v>4</v>
      </c>
      <c r="B25">
        <v>5</v>
      </c>
    </row>
    <row r="26" spans="1:2" ht="12.75">
      <c r="A26">
        <v>5</v>
      </c>
      <c r="B26">
        <v>10</v>
      </c>
    </row>
    <row r="27" spans="1:2" ht="12.75">
      <c r="A27">
        <v>6</v>
      </c>
      <c r="B27">
        <v>10</v>
      </c>
    </row>
    <row r="28" spans="1:2" ht="12.75">
      <c r="A28">
        <v>7</v>
      </c>
      <c r="B28">
        <v>10</v>
      </c>
    </row>
    <row r="29" spans="1:2" ht="12.75">
      <c r="A29">
        <v>8</v>
      </c>
      <c r="B29">
        <v>10</v>
      </c>
    </row>
    <row r="30" spans="1:2" ht="12.75">
      <c r="A30">
        <v>9</v>
      </c>
      <c r="B30">
        <v>10</v>
      </c>
    </row>
    <row r="31" spans="1:2" ht="12.75">
      <c r="A31">
        <v>10</v>
      </c>
      <c r="B31">
        <v>10</v>
      </c>
    </row>
    <row r="32" spans="1:2" ht="12.75">
      <c r="A32">
        <v>11</v>
      </c>
      <c r="B32">
        <v>15</v>
      </c>
    </row>
    <row r="33" spans="1:2" ht="12.75">
      <c r="A33">
        <v>12</v>
      </c>
      <c r="B33">
        <v>15</v>
      </c>
    </row>
    <row r="34" spans="1:2" ht="12.75">
      <c r="A34">
        <v>13</v>
      </c>
      <c r="B34">
        <v>15</v>
      </c>
    </row>
    <row r="35" spans="1:2" ht="12.75">
      <c r="A35">
        <v>14</v>
      </c>
      <c r="B35">
        <v>15</v>
      </c>
    </row>
    <row r="36" spans="1:2" ht="12.75">
      <c r="A36">
        <v>15</v>
      </c>
      <c r="B36">
        <v>15</v>
      </c>
    </row>
    <row r="37" spans="1:2" ht="12.75">
      <c r="A37">
        <v>16</v>
      </c>
      <c r="B37">
        <v>20</v>
      </c>
    </row>
    <row r="38" spans="1:2" ht="12.75">
      <c r="A38">
        <v>17</v>
      </c>
      <c r="B38">
        <v>20</v>
      </c>
    </row>
    <row r="39" spans="1:2" ht="12.75">
      <c r="A39">
        <v>18</v>
      </c>
      <c r="B39">
        <v>20</v>
      </c>
    </row>
    <row r="40" spans="1:2" ht="12.75">
      <c r="A40">
        <v>19</v>
      </c>
      <c r="B40">
        <v>20</v>
      </c>
    </row>
    <row r="41" spans="1:2" ht="12.75">
      <c r="A41">
        <v>20</v>
      </c>
      <c r="B41">
        <v>20</v>
      </c>
    </row>
    <row r="42" spans="1:2" ht="12.75">
      <c r="A42">
        <v>21</v>
      </c>
      <c r="B42">
        <v>20</v>
      </c>
    </row>
    <row r="43" spans="1:2" ht="12.75">
      <c r="A43">
        <v>22</v>
      </c>
      <c r="B43">
        <v>20</v>
      </c>
    </row>
    <row r="44" spans="1:2" ht="12.75">
      <c r="A44">
        <v>23</v>
      </c>
      <c r="B44">
        <v>20</v>
      </c>
    </row>
    <row r="45" spans="1:2" ht="12.75">
      <c r="A45">
        <v>24</v>
      </c>
      <c r="B45">
        <v>20</v>
      </c>
    </row>
    <row r="46" spans="1:2" ht="12.75">
      <c r="A46">
        <v>25</v>
      </c>
      <c r="B46">
        <v>20</v>
      </c>
    </row>
    <row r="47" spans="1:2" ht="12.75">
      <c r="A47">
        <v>26</v>
      </c>
      <c r="B47">
        <v>20</v>
      </c>
    </row>
    <row r="48" spans="1:2" ht="12.75">
      <c r="A48">
        <v>27</v>
      </c>
      <c r="B48">
        <v>20</v>
      </c>
    </row>
    <row r="49" spans="1:2" ht="12.75">
      <c r="A49">
        <v>28</v>
      </c>
      <c r="B49">
        <v>20</v>
      </c>
    </row>
    <row r="50" spans="1:2" ht="12.75">
      <c r="A50">
        <v>29</v>
      </c>
      <c r="B50">
        <v>20</v>
      </c>
    </row>
    <row r="51" spans="1:2" ht="12.75">
      <c r="A51">
        <v>30</v>
      </c>
      <c r="B51">
        <v>20</v>
      </c>
    </row>
    <row r="52" spans="1:2" ht="12.75">
      <c r="A52">
        <v>31</v>
      </c>
      <c r="B52">
        <v>20</v>
      </c>
    </row>
    <row r="53" spans="1:2" ht="12.75">
      <c r="A53">
        <v>32</v>
      </c>
      <c r="B53">
        <v>20</v>
      </c>
    </row>
    <row r="54" spans="1:2" ht="12.75">
      <c r="A54">
        <v>33</v>
      </c>
      <c r="B54">
        <v>20</v>
      </c>
    </row>
    <row r="55" spans="1:2" ht="12.75">
      <c r="A55">
        <v>34</v>
      </c>
      <c r="B55">
        <v>20</v>
      </c>
    </row>
    <row r="56" spans="1:2" ht="12.75">
      <c r="A56">
        <v>35</v>
      </c>
      <c r="B56">
        <v>20</v>
      </c>
    </row>
    <row r="57" spans="1:2" ht="12.75">
      <c r="A57">
        <v>36</v>
      </c>
      <c r="B57">
        <v>20</v>
      </c>
    </row>
    <row r="58" spans="1:2" ht="12.75">
      <c r="A58">
        <v>37</v>
      </c>
      <c r="B58">
        <v>20</v>
      </c>
    </row>
    <row r="59" spans="1:2" ht="12.75">
      <c r="A59">
        <v>38</v>
      </c>
      <c r="B59">
        <v>20</v>
      </c>
    </row>
    <row r="60" spans="1:2" ht="12.75">
      <c r="A60">
        <v>39</v>
      </c>
      <c r="B60">
        <v>20</v>
      </c>
    </row>
    <row r="61" spans="1:2" ht="12.75">
      <c r="A61">
        <v>40</v>
      </c>
      <c r="B61">
        <v>20</v>
      </c>
    </row>
    <row r="62" spans="1:2" ht="12.75">
      <c r="A62">
        <v>41</v>
      </c>
      <c r="B62">
        <v>20</v>
      </c>
    </row>
    <row r="63" spans="1:2" ht="12.75">
      <c r="A63">
        <v>42</v>
      </c>
      <c r="B63">
        <v>20</v>
      </c>
    </row>
    <row r="64" spans="1:2" ht="12.75">
      <c r="A64">
        <v>43</v>
      </c>
      <c r="B64">
        <v>20</v>
      </c>
    </row>
    <row r="65" spans="1:2" ht="12.75">
      <c r="A65">
        <v>44</v>
      </c>
      <c r="B65">
        <v>20</v>
      </c>
    </row>
    <row r="66" spans="1:2" ht="12.75">
      <c r="A66">
        <v>45</v>
      </c>
      <c r="B66">
        <v>20</v>
      </c>
    </row>
    <row r="67" spans="1:2" ht="12.75">
      <c r="A67">
        <v>46</v>
      </c>
      <c r="B67">
        <v>20</v>
      </c>
    </row>
    <row r="68" spans="1:2" ht="12.75">
      <c r="A68">
        <v>47</v>
      </c>
      <c r="B68">
        <v>20</v>
      </c>
    </row>
    <row r="69" spans="1:2" ht="12.75">
      <c r="A69">
        <v>48</v>
      </c>
      <c r="B69">
        <v>20</v>
      </c>
    </row>
    <row r="70" spans="1:2" ht="12.75">
      <c r="A70">
        <v>49</v>
      </c>
      <c r="B70">
        <v>20</v>
      </c>
    </row>
    <row r="71" spans="1:2" ht="12.75">
      <c r="A71">
        <v>50</v>
      </c>
      <c r="B71">
        <v>20</v>
      </c>
    </row>
    <row r="72" spans="1:2" ht="12.75">
      <c r="A72">
        <v>51</v>
      </c>
      <c r="B72">
        <v>20</v>
      </c>
    </row>
    <row r="73" spans="1:2" ht="12.75">
      <c r="A73">
        <v>52</v>
      </c>
      <c r="B73">
        <v>20</v>
      </c>
    </row>
    <row r="74" spans="1:2" ht="12.75">
      <c r="A74">
        <v>53</v>
      </c>
      <c r="B74">
        <v>20</v>
      </c>
    </row>
    <row r="75" spans="1:2" ht="12.75">
      <c r="A75">
        <v>54</v>
      </c>
      <c r="B75">
        <v>20</v>
      </c>
    </row>
    <row r="76" spans="1:2" ht="12.75">
      <c r="A76">
        <v>55</v>
      </c>
      <c r="B76">
        <v>20</v>
      </c>
    </row>
    <row r="77" spans="1:2" ht="12.75">
      <c r="A77">
        <v>56</v>
      </c>
      <c r="B77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PageLayoutView="0" workbookViewId="0" topLeftCell="A10">
      <pane ySplit="2850" topLeftCell="A99" activePane="bottomLeft" state="split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7.00390625" style="0" customWidth="1"/>
    <col min="4" max="4" width="10.75390625" style="0" customWidth="1"/>
    <col min="5" max="5" width="10.375" style="0" customWidth="1"/>
    <col min="7" max="7" width="10.125" style="0" customWidth="1"/>
    <col min="8" max="8" width="10.875" style="0" customWidth="1"/>
    <col min="10" max="10" width="0" style="0" hidden="1" customWidth="1"/>
    <col min="11" max="11" width="11.375" style="0" customWidth="1"/>
    <col min="12" max="13" width="11.00390625" style="0" customWidth="1"/>
    <col min="14" max="14" width="11.375" style="0" customWidth="1"/>
    <col min="15" max="15" width="32.875" style="0" customWidth="1"/>
  </cols>
  <sheetData>
    <row r="1" spans="1:14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ht="15.75">
      <c r="A2" s="1"/>
    </row>
    <row r="3" spans="1:14" ht="15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5" spans="1:14" ht="12.75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ht="12.75">
      <c r="A6" s="2"/>
    </row>
    <row r="7" spans="1:14" ht="15.75">
      <c r="A7" s="105" t="s">
        <v>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.7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5.75">
      <c r="A9" s="106" t="s">
        <v>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ht="16.5" thickBot="1">
      <c r="A10" s="3"/>
    </row>
    <row r="11" spans="1:14" ht="13.5" customHeight="1" thickBot="1">
      <c r="A11" s="94" t="s">
        <v>81</v>
      </c>
      <c r="B11" s="94" t="s">
        <v>7</v>
      </c>
      <c r="C11" s="94" t="s">
        <v>8</v>
      </c>
      <c r="D11" s="94" t="s">
        <v>9</v>
      </c>
      <c r="E11" s="94" t="s">
        <v>10</v>
      </c>
      <c r="F11" s="97" t="s">
        <v>11</v>
      </c>
      <c r="G11" s="98"/>
      <c r="H11" s="98"/>
      <c r="I11" s="98"/>
      <c r="J11" s="98"/>
      <c r="K11" s="98"/>
      <c r="L11" s="99"/>
      <c r="M11" s="94" t="s">
        <v>12</v>
      </c>
      <c r="N11" s="94" t="s">
        <v>13</v>
      </c>
    </row>
    <row r="12" spans="1:14" ht="48" customHeight="1">
      <c r="A12" s="95"/>
      <c r="B12" s="95"/>
      <c r="C12" s="95"/>
      <c r="D12" s="95"/>
      <c r="E12" s="95"/>
      <c r="F12" s="94" t="s">
        <v>127</v>
      </c>
      <c r="G12" s="94" t="s">
        <v>15</v>
      </c>
      <c r="H12" s="94" t="s">
        <v>128</v>
      </c>
      <c r="I12" s="5">
        <v>0.15</v>
      </c>
      <c r="J12" s="94" t="s">
        <v>19</v>
      </c>
      <c r="K12" s="94" t="s">
        <v>74</v>
      </c>
      <c r="L12" s="94" t="s">
        <v>20</v>
      </c>
      <c r="M12" s="95"/>
      <c r="N12" s="95"/>
    </row>
    <row r="13" spans="1:14" ht="51.75" customHeight="1" thickBot="1">
      <c r="A13" s="96"/>
      <c r="B13" s="96"/>
      <c r="C13" s="96"/>
      <c r="D13" s="96"/>
      <c r="E13" s="96"/>
      <c r="F13" s="96"/>
      <c r="G13" s="96"/>
      <c r="H13" s="96"/>
      <c r="I13" s="4" t="s">
        <v>18</v>
      </c>
      <c r="J13" s="96"/>
      <c r="K13" s="96"/>
      <c r="L13" s="96"/>
      <c r="M13" s="96"/>
      <c r="N13" s="96"/>
    </row>
    <row r="14" spans="1:14" ht="13.5" thickBot="1">
      <c r="A14" s="24">
        <v>1</v>
      </c>
      <c r="B14" s="24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</row>
    <row r="15" spans="1:14" s="9" customFormat="1" ht="15.75" customHeight="1" thickBot="1">
      <c r="A15" s="107" t="s">
        <v>80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14" s="9" customFormat="1" ht="15.75" customHeight="1" thickBo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1:15" ht="16.5" thickBot="1">
      <c r="A17" s="8">
        <v>1</v>
      </c>
      <c r="B17" s="11" t="s">
        <v>82</v>
      </c>
      <c r="C17" s="12">
        <v>1</v>
      </c>
      <c r="D17" s="12">
        <v>16</v>
      </c>
      <c r="E17" s="12"/>
      <c r="F17" s="12"/>
      <c r="G17" s="12"/>
      <c r="H17" s="12">
        <v>13927.34</v>
      </c>
      <c r="I17" s="12"/>
      <c r="J17" s="12"/>
      <c r="K17" s="12"/>
      <c r="L17" s="12"/>
      <c r="M17" s="12">
        <f aca="true" t="shared" si="0" ref="M17:M44">E17</f>
        <v>0</v>
      </c>
      <c r="N17" s="12">
        <f aca="true" t="shared" si="1" ref="N17:N44">E17+F17+G17+H17+I17+J17+K17+L17</f>
        <v>13927.34</v>
      </c>
      <c r="O17" t="s">
        <v>27</v>
      </c>
    </row>
    <row r="18" spans="1:15" ht="30.75" thickBot="1">
      <c r="A18" s="8">
        <v>2</v>
      </c>
      <c r="B18" s="11" t="s">
        <v>83</v>
      </c>
      <c r="C18" s="12">
        <v>1</v>
      </c>
      <c r="D18" s="12">
        <v>16</v>
      </c>
      <c r="E18" s="12"/>
      <c r="F18" s="12"/>
      <c r="G18" s="12"/>
      <c r="H18" s="12">
        <v>15121.12</v>
      </c>
      <c r="I18" s="12"/>
      <c r="J18" s="12"/>
      <c r="K18" s="12"/>
      <c r="L18" s="12"/>
      <c r="M18" s="12">
        <f t="shared" si="0"/>
        <v>0</v>
      </c>
      <c r="N18" s="12">
        <f t="shared" si="1"/>
        <v>15121.12</v>
      </c>
      <c r="O18" t="s">
        <v>28</v>
      </c>
    </row>
    <row r="19" spans="1:15" ht="16.5" thickBot="1">
      <c r="A19" s="8">
        <v>3</v>
      </c>
      <c r="B19" s="11" t="s">
        <v>84</v>
      </c>
      <c r="C19" s="12">
        <v>1</v>
      </c>
      <c r="D19" s="12">
        <v>15</v>
      </c>
      <c r="E19" s="12"/>
      <c r="F19" s="12"/>
      <c r="G19" s="12"/>
      <c r="H19" s="12">
        <v>5600</v>
      </c>
      <c r="I19" s="12"/>
      <c r="J19" s="12"/>
      <c r="K19" s="12"/>
      <c r="L19" s="12"/>
      <c r="M19" s="12">
        <f t="shared" si="0"/>
        <v>0</v>
      </c>
      <c r="N19" s="12">
        <f t="shared" si="1"/>
        <v>5600</v>
      </c>
      <c r="O19" s="6" t="s">
        <v>78</v>
      </c>
    </row>
    <row r="20" spans="1:15" ht="16.5" thickBot="1">
      <c r="A20" s="8">
        <v>4</v>
      </c>
      <c r="B20" s="11" t="s">
        <v>85</v>
      </c>
      <c r="C20" s="12">
        <v>1</v>
      </c>
      <c r="D20" s="12">
        <v>13</v>
      </c>
      <c r="E20" s="12"/>
      <c r="F20" s="12"/>
      <c r="G20" s="12"/>
      <c r="H20" s="12">
        <v>479.48</v>
      </c>
      <c r="I20" s="12"/>
      <c r="J20" s="12"/>
      <c r="K20" s="12"/>
      <c r="L20" s="12"/>
      <c r="M20" s="12">
        <f t="shared" si="0"/>
        <v>0</v>
      </c>
      <c r="N20" s="12">
        <f t="shared" si="1"/>
        <v>479.48</v>
      </c>
      <c r="O20" t="s">
        <v>30</v>
      </c>
    </row>
    <row r="21" spans="1:15" ht="16.5" thickBot="1">
      <c r="A21" s="8">
        <v>5</v>
      </c>
      <c r="B21" s="11" t="s">
        <v>126</v>
      </c>
      <c r="C21" s="12">
        <v>1</v>
      </c>
      <c r="D21" s="12">
        <v>13</v>
      </c>
      <c r="E21" s="12"/>
      <c r="F21" s="12"/>
      <c r="G21" s="12"/>
      <c r="H21" s="12">
        <v>8311.11</v>
      </c>
      <c r="I21" s="12"/>
      <c r="J21" s="12"/>
      <c r="K21" s="12"/>
      <c r="L21" s="12"/>
      <c r="M21" s="12">
        <f t="shared" si="0"/>
        <v>0</v>
      </c>
      <c r="N21" s="12">
        <f t="shared" si="1"/>
        <v>8311.11</v>
      </c>
      <c r="O21" t="s">
        <v>29</v>
      </c>
    </row>
    <row r="22" spans="1:15" ht="30.75" thickBot="1">
      <c r="A22" s="8">
        <v>6</v>
      </c>
      <c r="B22" s="11" t="s">
        <v>86</v>
      </c>
      <c r="C22" s="12">
        <v>1</v>
      </c>
      <c r="D22" s="12">
        <v>14</v>
      </c>
      <c r="E22" s="12"/>
      <c r="F22" s="12"/>
      <c r="G22" s="13"/>
      <c r="H22" s="12">
        <v>7556.27</v>
      </c>
      <c r="I22" s="12"/>
      <c r="J22" s="12"/>
      <c r="K22" s="12"/>
      <c r="L22" s="12"/>
      <c r="M22" s="12">
        <f t="shared" si="0"/>
        <v>0</v>
      </c>
      <c r="N22" s="12">
        <f t="shared" si="1"/>
        <v>7556.27</v>
      </c>
      <c r="O22" t="s">
        <v>45</v>
      </c>
    </row>
    <row r="23" spans="1:15" ht="30.75" thickBot="1">
      <c r="A23" s="8">
        <v>7</v>
      </c>
      <c r="B23" s="11" t="s">
        <v>87</v>
      </c>
      <c r="C23" s="12">
        <v>1</v>
      </c>
      <c r="D23" s="12">
        <v>14</v>
      </c>
      <c r="E23" s="12"/>
      <c r="F23" s="12"/>
      <c r="G23" s="13"/>
      <c r="H23" s="13">
        <v>4465.07</v>
      </c>
      <c r="I23" s="13"/>
      <c r="J23" s="12"/>
      <c r="K23" s="12"/>
      <c r="L23" s="12"/>
      <c r="M23" s="12">
        <f t="shared" si="0"/>
        <v>0</v>
      </c>
      <c r="N23" s="12">
        <f t="shared" si="1"/>
        <v>4465.07</v>
      </c>
      <c r="O23" t="s">
        <v>31</v>
      </c>
    </row>
    <row r="24" spans="1:15" ht="30.75" thickBot="1">
      <c r="A24" s="8">
        <v>8</v>
      </c>
      <c r="B24" s="11" t="s">
        <v>88</v>
      </c>
      <c r="C24" s="12">
        <v>1</v>
      </c>
      <c r="D24" s="12">
        <v>14</v>
      </c>
      <c r="E24" s="12"/>
      <c r="F24" s="12"/>
      <c r="G24" s="13"/>
      <c r="H24" s="12">
        <v>4841.52</v>
      </c>
      <c r="I24" s="12"/>
      <c r="J24" s="12"/>
      <c r="K24" s="12"/>
      <c r="L24" s="12"/>
      <c r="M24" s="12">
        <f t="shared" si="0"/>
        <v>0</v>
      </c>
      <c r="N24" s="12">
        <f t="shared" si="1"/>
        <v>4841.52</v>
      </c>
      <c r="O24" s="6" t="s">
        <v>77</v>
      </c>
    </row>
    <row r="25" spans="1:15" ht="30.75" thickBot="1">
      <c r="A25" s="8">
        <v>9</v>
      </c>
      <c r="B25" s="11" t="s">
        <v>89</v>
      </c>
      <c r="C25" s="12">
        <v>1</v>
      </c>
      <c r="D25" s="12">
        <v>15</v>
      </c>
      <c r="E25" s="12"/>
      <c r="F25" s="12"/>
      <c r="G25" s="12"/>
      <c r="H25" s="12">
        <v>4448.35</v>
      </c>
      <c r="I25" s="12"/>
      <c r="J25" s="12"/>
      <c r="K25" s="12"/>
      <c r="L25" s="12"/>
      <c r="M25" s="12">
        <f t="shared" si="0"/>
        <v>0</v>
      </c>
      <c r="N25" s="12">
        <f t="shared" si="1"/>
        <v>4448.35</v>
      </c>
      <c r="O25" t="s">
        <v>32</v>
      </c>
    </row>
    <row r="26" spans="1:15" ht="16.5" thickBot="1">
      <c r="A26" s="8">
        <v>10</v>
      </c>
      <c r="B26" s="11" t="s">
        <v>46</v>
      </c>
      <c r="C26" s="12">
        <v>1</v>
      </c>
      <c r="D26" s="12">
        <v>14</v>
      </c>
      <c r="E26" s="12"/>
      <c r="F26" s="12"/>
      <c r="G26" s="13"/>
      <c r="H26" s="12">
        <v>4465.07</v>
      </c>
      <c r="I26" s="12"/>
      <c r="J26" s="12"/>
      <c r="K26" s="12"/>
      <c r="L26" s="12"/>
      <c r="M26" s="12">
        <f t="shared" si="0"/>
        <v>0</v>
      </c>
      <c r="N26" s="12">
        <f t="shared" si="1"/>
        <v>4465.07</v>
      </c>
      <c r="O26" t="s">
        <v>47</v>
      </c>
    </row>
    <row r="27" spans="1:15" ht="16.5" thickBot="1">
      <c r="A27" s="8">
        <v>11</v>
      </c>
      <c r="B27" s="11" t="s">
        <v>90</v>
      </c>
      <c r="C27" s="12">
        <v>1</v>
      </c>
      <c r="D27" s="12">
        <v>13</v>
      </c>
      <c r="E27" s="12"/>
      <c r="F27" s="12"/>
      <c r="G27" s="12"/>
      <c r="H27" s="12">
        <v>499.88</v>
      </c>
      <c r="I27" s="12"/>
      <c r="J27" s="12"/>
      <c r="K27" s="12"/>
      <c r="L27" s="12"/>
      <c r="M27" s="12">
        <f t="shared" si="0"/>
        <v>0</v>
      </c>
      <c r="N27" s="12">
        <f t="shared" si="1"/>
        <v>499.88</v>
      </c>
      <c r="O27" s="6" t="s">
        <v>76</v>
      </c>
    </row>
    <row r="28" spans="1:15" ht="16.5" thickBot="1">
      <c r="A28" s="8">
        <v>12</v>
      </c>
      <c r="B28" s="11" t="s">
        <v>91</v>
      </c>
      <c r="C28" s="12">
        <v>1</v>
      </c>
      <c r="D28" s="12">
        <v>14</v>
      </c>
      <c r="E28" s="12"/>
      <c r="F28" s="12"/>
      <c r="G28" s="13"/>
      <c r="H28" s="12">
        <v>2404.27</v>
      </c>
      <c r="I28" s="12"/>
      <c r="J28" s="12"/>
      <c r="K28" s="12"/>
      <c r="L28" s="12"/>
      <c r="M28" s="12">
        <f t="shared" si="0"/>
        <v>0</v>
      </c>
      <c r="N28" s="12">
        <f t="shared" si="1"/>
        <v>2404.27</v>
      </c>
      <c r="O28" t="s">
        <v>33</v>
      </c>
    </row>
    <row r="29" spans="1:15" ht="16.5" thickBot="1">
      <c r="A29" s="8">
        <v>13</v>
      </c>
      <c r="B29" s="11" t="s">
        <v>92</v>
      </c>
      <c r="C29" s="12">
        <v>1</v>
      </c>
      <c r="D29" s="12">
        <v>5</v>
      </c>
      <c r="E29" s="12"/>
      <c r="F29" s="12"/>
      <c r="G29" s="12"/>
      <c r="H29" s="12">
        <v>2772.1</v>
      </c>
      <c r="I29" s="12"/>
      <c r="J29" s="12"/>
      <c r="K29" s="12"/>
      <c r="L29" s="12"/>
      <c r="M29" s="12">
        <f t="shared" si="0"/>
        <v>0</v>
      </c>
      <c r="N29" s="12">
        <f t="shared" si="1"/>
        <v>2772.1</v>
      </c>
      <c r="O29" t="s">
        <v>34</v>
      </c>
    </row>
    <row r="30" spans="1:15" ht="30.75" thickBot="1">
      <c r="A30" s="8">
        <v>14</v>
      </c>
      <c r="B30" s="11" t="s">
        <v>93</v>
      </c>
      <c r="C30" s="12">
        <v>1</v>
      </c>
      <c r="D30" s="12">
        <v>14</v>
      </c>
      <c r="E30" s="12"/>
      <c r="F30" s="12"/>
      <c r="G30" s="13"/>
      <c r="H30" s="12">
        <f>3434.67+1030.4</f>
        <v>4465.07</v>
      </c>
      <c r="I30" s="12"/>
      <c r="J30" s="12"/>
      <c r="K30" s="12"/>
      <c r="L30" s="12"/>
      <c r="M30" s="12">
        <f t="shared" si="0"/>
        <v>0</v>
      </c>
      <c r="N30" s="12">
        <f t="shared" si="1"/>
        <v>4465.07</v>
      </c>
      <c r="O30" t="s">
        <v>35</v>
      </c>
    </row>
    <row r="31" spans="1:15" ht="16.5" thickBot="1">
      <c r="A31" s="8">
        <v>15</v>
      </c>
      <c r="B31" s="11" t="s">
        <v>24</v>
      </c>
      <c r="C31" s="12">
        <v>1</v>
      </c>
      <c r="D31" s="12">
        <v>15</v>
      </c>
      <c r="E31" s="12"/>
      <c r="F31" s="12"/>
      <c r="G31" s="12"/>
      <c r="H31" s="12">
        <f>10750.18+4077.66</f>
        <v>14827.84</v>
      </c>
      <c r="I31" s="12"/>
      <c r="J31" s="12"/>
      <c r="K31" s="12"/>
      <c r="L31" s="12"/>
      <c r="M31" s="12">
        <f t="shared" si="0"/>
        <v>0</v>
      </c>
      <c r="N31" s="12">
        <f t="shared" si="1"/>
        <v>14827.84</v>
      </c>
      <c r="O31" t="s">
        <v>36</v>
      </c>
    </row>
    <row r="32" spans="1:15" ht="16.5" thickBot="1">
      <c r="A32" s="8">
        <v>16</v>
      </c>
      <c r="B32" s="11" t="s">
        <v>94</v>
      </c>
      <c r="C32" s="12">
        <v>1</v>
      </c>
      <c r="D32" s="12">
        <v>15</v>
      </c>
      <c r="E32" s="12"/>
      <c r="F32" s="12"/>
      <c r="G32" s="12"/>
      <c r="H32" s="12">
        <v>10388.51</v>
      </c>
      <c r="I32" s="12"/>
      <c r="J32" s="12"/>
      <c r="K32" s="12"/>
      <c r="L32" s="12"/>
      <c r="M32" s="12">
        <f t="shared" si="0"/>
        <v>0</v>
      </c>
      <c r="N32" s="12">
        <f t="shared" si="1"/>
        <v>10388.51</v>
      </c>
      <c r="O32" s="6" t="s">
        <v>79</v>
      </c>
    </row>
    <row r="33" spans="1:15" ht="16.5" thickBot="1">
      <c r="A33" s="8">
        <v>17</v>
      </c>
      <c r="B33" s="11" t="s">
        <v>95</v>
      </c>
      <c r="C33" s="12">
        <v>1</v>
      </c>
      <c r="D33" s="12">
        <v>10</v>
      </c>
      <c r="E33" s="12"/>
      <c r="F33" s="12"/>
      <c r="G33" s="12"/>
      <c r="H33" s="12">
        <v>6888.9</v>
      </c>
      <c r="I33" s="12"/>
      <c r="J33" s="12"/>
      <c r="K33" s="12"/>
      <c r="L33" s="12"/>
      <c r="M33" s="12">
        <f t="shared" si="0"/>
        <v>0</v>
      </c>
      <c r="N33" s="12">
        <f t="shared" si="1"/>
        <v>6888.9</v>
      </c>
      <c r="O33" s="6" t="s">
        <v>37</v>
      </c>
    </row>
    <row r="34" spans="1:15" ht="16.5" thickBot="1">
      <c r="A34" s="8">
        <v>18</v>
      </c>
      <c r="B34" s="11" t="s">
        <v>95</v>
      </c>
      <c r="C34" s="12">
        <v>1</v>
      </c>
      <c r="D34" s="12">
        <v>8</v>
      </c>
      <c r="E34" s="12"/>
      <c r="F34" s="12"/>
      <c r="G34" s="12"/>
      <c r="H34" s="12">
        <v>6570</v>
      </c>
      <c r="I34" s="12"/>
      <c r="J34" s="12"/>
      <c r="K34" s="12"/>
      <c r="L34" s="12"/>
      <c r="M34" s="12">
        <f t="shared" si="0"/>
        <v>0</v>
      </c>
      <c r="N34" s="12">
        <f t="shared" si="1"/>
        <v>6570</v>
      </c>
      <c r="O34" t="s">
        <v>38</v>
      </c>
    </row>
    <row r="35" spans="1:15" ht="16.5" thickBot="1">
      <c r="A35" s="8">
        <v>19</v>
      </c>
      <c r="B35" s="11" t="s">
        <v>96</v>
      </c>
      <c r="C35" s="12">
        <v>1</v>
      </c>
      <c r="D35" s="12">
        <v>4</v>
      </c>
      <c r="E35" s="12"/>
      <c r="F35" s="12"/>
      <c r="G35" s="12"/>
      <c r="H35" s="12">
        <v>3904.99</v>
      </c>
      <c r="I35" s="12"/>
      <c r="J35" s="12"/>
      <c r="K35" s="12"/>
      <c r="L35" s="12"/>
      <c r="M35" s="12">
        <f t="shared" si="0"/>
        <v>0</v>
      </c>
      <c r="N35" s="12">
        <f t="shared" si="1"/>
        <v>3904.99</v>
      </c>
      <c r="O35" t="s">
        <v>39</v>
      </c>
    </row>
    <row r="36" spans="1:15" ht="16.5" thickBot="1">
      <c r="A36" s="8">
        <v>20</v>
      </c>
      <c r="B36" s="11" t="s">
        <v>97</v>
      </c>
      <c r="C36" s="12">
        <v>1</v>
      </c>
      <c r="D36" s="12">
        <v>5</v>
      </c>
      <c r="E36" s="12"/>
      <c r="F36" s="12"/>
      <c r="G36" s="12"/>
      <c r="H36" s="12">
        <f>2477.16</f>
        <v>2477.16</v>
      </c>
      <c r="I36" s="12"/>
      <c r="J36" s="12"/>
      <c r="K36" s="12"/>
      <c r="L36" s="12"/>
      <c r="M36" s="12">
        <f t="shared" si="0"/>
        <v>0</v>
      </c>
      <c r="N36" s="12">
        <f t="shared" si="1"/>
        <v>2477.16</v>
      </c>
      <c r="O36" t="s">
        <v>40</v>
      </c>
    </row>
    <row r="37" spans="1:15" ht="16.5" thickBot="1">
      <c r="A37" s="8">
        <v>21</v>
      </c>
      <c r="B37" s="11" t="s">
        <v>98</v>
      </c>
      <c r="C37" s="12">
        <v>1</v>
      </c>
      <c r="D37" s="12">
        <v>6</v>
      </c>
      <c r="E37" s="12"/>
      <c r="F37" s="12"/>
      <c r="G37" s="12"/>
      <c r="H37" s="12">
        <v>1028.69</v>
      </c>
      <c r="I37" s="12"/>
      <c r="J37" s="12"/>
      <c r="K37" s="12"/>
      <c r="L37" s="12"/>
      <c r="M37" s="12">
        <f t="shared" si="0"/>
        <v>0</v>
      </c>
      <c r="N37" s="12">
        <f t="shared" si="1"/>
        <v>1028.69</v>
      </c>
      <c r="O37" t="s">
        <v>41</v>
      </c>
    </row>
    <row r="38" spans="1:15" ht="16.5" thickBot="1">
      <c r="A38" s="8">
        <v>22</v>
      </c>
      <c r="B38" s="11" t="s">
        <v>99</v>
      </c>
      <c r="C38" s="12">
        <v>1</v>
      </c>
      <c r="D38" s="12">
        <v>5</v>
      </c>
      <c r="E38" s="12"/>
      <c r="F38" s="12"/>
      <c r="G38" s="12"/>
      <c r="H38" s="12">
        <v>1717.95</v>
      </c>
      <c r="I38" s="12"/>
      <c r="J38" s="12"/>
      <c r="K38" s="12"/>
      <c r="L38" s="12"/>
      <c r="M38" s="12">
        <f t="shared" si="0"/>
        <v>0</v>
      </c>
      <c r="N38" s="12">
        <f t="shared" si="1"/>
        <v>1717.95</v>
      </c>
      <c r="O38" t="s">
        <v>41</v>
      </c>
    </row>
    <row r="39" spans="1:15" ht="16.5" thickBot="1">
      <c r="A39" s="8">
        <v>23</v>
      </c>
      <c r="B39" s="11" t="s">
        <v>100</v>
      </c>
      <c r="C39" s="12">
        <v>1</v>
      </c>
      <c r="D39" s="12">
        <v>3</v>
      </c>
      <c r="E39" s="12"/>
      <c r="F39" s="12"/>
      <c r="G39" s="12"/>
      <c r="H39" s="12">
        <v>122.1</v>
      </c>
      <c r="I39" s="12"/>
      <c r="J39" s="12"/>
      <c r="K39" s="12"/>
      <c r="L39" s="12"/>
      <c r="M39" s="12">
        <f t="shared" si="0"/>
        <v>0</v>
      </c>
      <c r="N39" s="12">
        <f t="shared" si="1"/>
        <v>122.1</v>
      </c>
      <c r="O39" t="s">
        <v>43</v>
      </c>
    </row>
    <row r="40" spans="1:15" ht="16.5" thickBot="1">
      <c r="A40" s="8">
        <v>24</v>
      </c>
      <c r="B40" s="11" t="s">
        <v>101</v>
      </c>
      <c r="C40" s="12">
        <v>1</v>
      </c>
      <c r="D40" s="12">
        <v>3</v>
      </c>
      <c r="E40" s="12"/>
      <c r="F40" s="12"/>
      <c r="G40" s="12"/>
      <c r="H40" s="12">
        <v>3090.11</v>
      </c>
      <c r="I40" s="12"/>
      <c r="J40" s="12"/>
      <c r="K40" s="12"/>
      <c r="L40" s="12"/>
      <c r="M40" s="12">
        <f t="shared" si="0"/>
        <v>0</v>
      </c>
      <c r="N40" s="12">
        <f t="shared" si="1"/>
        <v>3090.11</v>
      </c>
      <c r="O40" t="s">
        <v>44</v>
      </c>
    </row>
    <row r="41" spans="1:15" ht="16.5" thickBot="1">
      <c r="A41" s="8">
        <v>25</v>
      </c>
      <c r="B41" s="11" t="s">
        <v>102</v>
      </c>
      <c r="C41" s="12">
        <v>1</v>
      </c>
      <c r="D41" s="12">
        <v>5</v>
      </c>
      <c r="E41" s="12"/>
      <c r="F41" s="12"/>
      <c r="G41" s="12"/>
      <c r="H41" s="12">
        <f>1548.23+1904.76</f>
        <v>3452.99</v>
      </c>
      <c r="I41" s="12"/>
      <c r="J41" s="12"/>
      <c r="K41" s="12"/>
      <c r="L41" s="12"/>
      <c r="M41" s="12">
        <f t="shared" si="0"/>
        <v>0</v>
      </c>
      <c r="N41" s="12">
        <f t="shared" si="1"/>
        <v>3452.99</v>
      </c>
      <c r="O41" t="s">
        <v>42</v>
      </c>
    </row>
    <row r="42" spans="1:15" ht="16.5" thickBot="1">
      <c r="A42" s="8">
        <v>26</v>
      </c>
      <c r="B42" s="11" t="s">
        <v>103</v>
      </c>
      <c r="C42" s="12">
        <v>1</v>
      </c>
      <c r="D42" s="12">
        <v>11</v>
      </c>
      <c r="E42" s="12"/>
      <c r="F42" s="12"/>
      <c r="G42" s="12"/>
      <c r="H42" s="27">
        <v>7254.32</v>
      </c>
      <c r="I42" s="12"/>
      <c r="J42" s="12"/>
      <c r="K42" s="12"/>
      <c r="L42" s="12"/>
      <c r="M42" s="12">
        <f t="shared" si="0"/>
        <v>0</v>
      </c>
      <c r="N42" s="12">
        <f t="shared" si="1"/>
        <v>7254.32</v>
      </c>
      <c r="O42" t="s">
        <v>48</v>
      </c>
    </row>
    <row r="43" spans="1:15" ht="16.5" thickBot="1">
      <c r="A43" s="8">
        <v>27</v>
      </c>
      <c r="B43" s="11" t="s">
        <v>25</v>
      </c>
      <c r="C43" s="12">
        <v>1</v>
      </c>
      <c r="D43" s="12">
        <v>13</v>
      </c>
      <c r="E43" s="12"/>
      <c r="F43" s="12"/>
      <c r="G43" s="12"/>
      <c r="H43" s="12">
        <v>2557.26</v>
      </c>
      <c r="I43" s="12"/>
      <c r="J43" s="12"/>
      <c r="K43" s="12"/>
      <c r="L43" s="12"/>
      <c r="M43" s="12">
        <f t="shared" si="0"/>
        <v>0</v>
      </c>
      <c r="N43" s="12">
        <f t="shared" si="1"/>
        <v>2557.26</v>
      </c>
      <c r="O43" t="s">
        <v>49</v>
      </c>
    </row>
    <row r="44" spans="1:15" ht="30.75" thickBot="1">
      <c r="A44" s="8">
        <v>28</v>
      </c>
      <c r="B44" s="11" t="s">
        <v>26</v>
      </c>
      <c r="C44" s="12">
        <v>1</v>
      </c>
      <c r="D44" s="12">
        <v>11</v>
      </c>
      <c r="E44" s="12"/>
      <c r="F44" s="12"/>
      <c r="G44" s="12"/>
      <c r="H44" s="12">
        <v>4500</v>
      </c>
      <c r="I44" s="12"/>
      <c r="J44" s="12"/>
      <c r="K44" s="12"/>
      <c r="L44" s="12"/>
      <c r="M44" s="12">
        <f t="shared" si="0"/>
        <v>0</v>
      </c>
      <c r="N44" s="12">
        <f t="shared" si="1"/>
        <v>4500</v>
      </c>
      <c r="O44" t="s">
        <v>30</v>
      </c>
    </row>
    <row r="45" spans="1:14" ht="16.5" thickBot="1">
      <c r="A45" s="14"/>
      <c r="B45" s="15" t="s">
        <v>21</v>
      </c>
      <c r="C45" s="16">
        <f>SUM(C17:C44)</f>
        <v>28</v>
      </c>
      <c r="D45" s="16"/>
      <c r="E45" s="17">
        <f aca="true" t="shared" si="2" ref="E45:N45">SUM(E17:E44)</f>
        <v>0</v>
      </c>
      <c r="F45" s="17">
        <f t="shared" si="2"/>
        <v>0</v>
      </c>
      <c r="G45" s="17">
        <f t="shared" si="2"/>
        <v>0</v>
      </c>
      <c r="H45" s="17">
        <f t="shared" si="2"/>
        <v>148137.47000000003</v>
      </c>
      <c r="I45" s="17">
        <f t="shared" si="2"/>
        <v>0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148137.47000000003</v>
      </c>
    </row>
    <row r="46" spans="1:14" ht="15.75" customHeight="1" thickBot="1">
      <c r="A46" s="101" t="s">
        <v>104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5" ht="30" customHeight="1" thickBot="1">
      <c r="A47" s="8">
        <v>1</v>
      </c>
      <c r="B47" s="18" t="s">
        <v>105</v>
      </c>
      <c r="C47" s="12">
        <v>1</v>
      </c>
      <c r="D47" s="12">
        <v>15</v>
      </c>
      <c r="E47" s="12"/>
      <c r="F47" s="12"/>
      <c r="G47" s="12"/>
      <c r="H47" s="12">
        <v>4077.65</v>
      </c>
      <c r="I47" s="12"/>
      <c r="J47" s="12"/>
      <c r="K47" s="12"/>
      <c r="L47" s="12"/>
      <c r="M47" s="12">
        <f>E47</f>
        <v>0</v>
      </c>
      <c r="N47" s="13">
        <f>E47+G47+H47</f>
        <v>4077.65</v>
      </c>
      <c r="O47" t="s">
        <v>50</v>
      </c>
    </row>
    <row r="48" spans="1:15" ht="30" customHeight="1" thickBot="1">
      <c r="A48" s="8"/>
      <c r="B48" s="18" t="s">
        <v>106</v>
      </c>
      <c r="C48" s="12">
        <v>1</v>
      </c>
      <c r="D48" s="12">
        <v>13</v>
      </c>
      <c r="E48" s="12"/>
      <c r="F48" s="12"/>
      <c r="G48" s="12"/>
      <c r="H48" s="12"/>
      <c r="I48" s="12"/>
      <c r="J48" s="12"/>
      <c r="K48" s="12"/>
      <c r="L48" s="12"/>
      <c r="M48" s="12"/>
      <c r="N48" s="13">
        <f aca="true" t="shared" si="3" ref="N48:N67">E48+G48+H48</f>
        <v>0</v>
      </c>
      <c r="O48" t="s">
        <v>136</v>
      </c>
    </row>
    <row r="49" spans="1:15" ht="30.75" thickBot="1">
      <c r="A49" s="8">
        <v>2</v>
      </c>
      <c r="B49" s="18" t="s">
        <v>106</v>
      </c>
      <c r="C49" s="12">
        <v>2</v>
      </c>
      <c r="D49" s="12">
        <v>13</v>
      </c>
      <c r="E49" s="12"/>
      <c r="F49" s="12"/>
      <c r="G49" s="12"/>
      <c r="H49" s="12">
        <v>1278.03</v>
      </c>
      <c r="I49" s="12"/>
      <c r="J49" s="12"/>
      <c r="K49" s="12"/>
      <c r="L49" s="12"/>
      <c r="M49" s="12">
        <f>C49*E49</f>
        <v>0</v>
      </c>
      <c r="N49" s="13">
        <f t="shared" si="3"/>
        <v>1278.03</v>
      </c>
      <c r="O49" s="26" t="s">
        <v>135</v>
      </c>
    </row>
    <row r="50" spans="1:15" ht="30.75" thickBot="1">
      <c r="A50" s="8"/>
      <c r="B50" s="18" t="s">
        <v>106</v>
      </c>
      <c r="C50" s="12">
        <v>1</v>
      </c>
      <c r="D50" s="12">
        <v>13</v>
      </c>
      <c r="E50" s="12"/>
      <c r="F50" s="12"/>
      <c r="G50" s="12"/>
      <c r="H50" s="12">
        <v>2237.61</v>
      </c>
      <c r="I50" s="12"/>
      <c r="J50" s="12"/>
      <c r="K50" s="12"/>
      <c r="L50" s="12"/>
      <c r="M50" s="12"/>
      <c r="N50" s="13">
        <f t="shared" si="3"/>
        <v>2237.61</v>
      </c>
      <c r="O50" s="26"/>
    </row>
    <row r="51" spans="1:14" ht="30.75" thickBot="1">
      <c r="A51" s="8">
        <v>3</v>
      </c>
      <c r="B51" s="18" t="s">
        <v>106</v>
      </c>
      <c r="C51" s="12">
        <v>1</v>
      </c>
      <c r="D51" s="12">
        <v>10</v>
      </c>
      <c r="E51" s="12"/>
      <c r="F51" s="12"/>
      <c r="G51" s="12"/>
      <c r="H51" s="12"/>
      <c r="I51" s="12"/>
      <c r="J51" s="12"/>
      <c r="K51" s="12"/>
      <c r="L51" s="12"/>
      <c r="M51" s="12">
        <v>0</v>
      </c>
      <c r="N51" s="13">
        <f t="shared" si="3"/>
        <v>0</v>
      </c>
    </row>
    <row r="52" spans="1:15" ht="16.5" thickBot="1">
      <c r="A52" s="8">
        <v>4</v>
      </c>
      <c r="B52" s="18" t="s">
        <v>107</v>
      </c>
      <c r="C52" s="12">
        <v>1</v>
      </c>
      <c r="D52" s="12">
        <v>14</v>
      </c>
      <c r="E52" s="12"/>
      <c r="F52" s="12"/>
      <c r="G52" s="13"/>
      <c r="H52" s="12">
        <v>858.67</v>
      </c>
      <c r="I52" s="13"/>
      <c r="J52" s="12"/>
      <c r="K52" s="12"/>
      <c r="L52" s="12"/>
      <c r="M52" s="12">
        <f>E52</f>
        <v>0</v>
      </c>
      <c r="N52" s="13">
        <f t="shared" si="3"/>
        <v>858.67</v>
      </c>
      <c r="O52" t="s">
        <v>51</v>
      </c>
    </row>
    <row r="53" spans="1:15" ht="16.5" thickBot="1">
      <c r="A53" s="8"/>
      <c r="B53" s="18" t="s">
        <v>107</v>
      </c>
      <c r="C53" s="12">
        <v>1</v>
      </c>
      <c r="D53" s="12">
        <v>10</v>
      </c>
      <c r="E53" s="12"/>
      <c r="F53" s="12"/>
      <c r="G53" s="13"/>
      <c r="H53" s="12">
        <v>374.91</v>
      </c>
      <c r="I53" s="13"/>
      <c r="J53" s="12"/>
      <c r="K53" s="12"/>
      <c r="L53" s="12"/>
      <c r="M53" s="12"/>
      <c r="N53" s="13">
        <f t="shared" si="3"/>
        <v>374.91</v>
      </c>
      <c r="O53" t="s">
        <v>137</v>
      </c>
    </row>
    <row r="54" spans="1:15" ht="16.5" thickBot="1">
      <c r="A54" s="8">
        <v>5</v>
      </c>
      <c r="B54" s="18" t="s">
        <v>107</v>
      </c>
      <c r="C54" s="12">
        <v>1</v>
      </c>
      <c r="D54" s="12">
        <v>10</v>
      </c>
      <c r="E54" s="12"/>
      <c r="F54" s="12"/>
      <c r="G54" s="12"/>
      <c r="H54" s="12">
        <v>2074.48</v>
      </c>
      <c r="I54" s="12"/>
      <c r="J54" s="12"/>
      <c r="K54" s="12"/>
      <c r="L54" s="12"/>
      <c r="M54" s="12">
        <f>E54*C54</f>
        <v>0</v>
      </c>
      <c r="N54" s="13">
        <f t="shared" si="3"/>
        <v>2074.48</v>
      </c>
      <c r="O54" t="s">
        <v>138</v>
      </c>
    </row>
    <row r="55" spans="1:15" ht="16.5" thickBot="1">
      <c r="A55" s="8"/>
      <c r="B55" s="18" t="s">
        <v>108</v>
      </c>
      <c r="C55" s="12">
        <v>1</v>
      </c>
      <c r="D55" s="12">
        <v>14</v>
      </c>
      <c r="E55" s="12"/>
      <c r="F55" s="12"/>
      <c r="G55" s="12"/>
      <c r="H55" s="12"/>
      <c r="I55" s="12"/>
      <c r="J55" s="12"/>
      <c r="K55" s="12"/>
      <c r="L55" s="12"/>
      <c r="M55" s="12">
        <f>E55*C55</f>
        <v>0</v>
      </c>
      <c r="N55" s="13">
        <f t="shared" si="3"/>
        <v>0</v>
      </c>
      <c r="O55" t="s">
        <v>129</v>
      </c>
    </row>
    <row r="56" spans="1:15" ht="16.5" thickBot="1">
      <c r="A56" s="8">
        <v>6</v>
      </c>
      <c r="B56" s="18" t="s">
        <v>108</v>
      </c>
      <c r="C56" s="12">
        <v>1</v>
      </c>
      <c r="D56" s="12">
        <v>14</v>
      </c>
      <c r="E56" s="12"/>
      <c r="F56" s="12"/>
      <c r="G56" s="13"/>
      <c r="H56" s="12">
        <v>1717.34</v>
      </c>
      <c r="I56" s="12"/>
      <c r="J56" s="12"/>
      <c r="K56" s="12"/>
      <c r="L56" s="12"/>
      <c r="M56" s="12">
        <f>E56*C56</f>
        <v>0</v>
      </c>
      <c r="N56" s="13">
        <f t="shared" si="3"/>
        <v>1717.34</v>
      </c>
      <c r="O56" t="s">
        <v>130</v>
      </c>
    </row>
    <row r="57" spans="1:15" ht="16.5" thickBot="1">
      <c r="A57" s="8">
        <v>7</v>
      </c>
      <c r="B57" s="18" t="s">
        <v>53</v>
      </c>
      <c r="C57" s="12">
        <v>1</v>
      </c>
      <c r="D57" s="12">
        <v>13</v>
      </c>
      <c r="E57" s="12"/>
      <c r="F57" s="12"/>
      <c r="G57" s="12"/>
      <c r="H57" s="12">
        <v>5434.19</v>
      </c>
      <c r="I57" s="12"/>
      <c r="J57" s="12"/>
      <c r="K57" s="12"/>
      <c r="L57" s="12"/>
      <c r="M57" s="12">
        <f>E57</f>
        <v>0</v>
      </c>
      <c r="N57" s="13">
        <f t="shared" si="3"/>
        <v>5434.19</v>
      </c>
      <c r="O57" t="s">
        <v>54</v>
      </c>
    </row>
    <row r="58" spans="1:15" ht="16.5" thickBot="1">
      <c r="A58" s="8">
        <v>8</v>
      </c>
      <c r="B58" s="18" t="s">
        <v>55</v>
      </c>
      <c r="C58" s="12">
        <v>1</v>
      </c>
      <c r="D58" s="12">
        <v>13</v>
      </c>
      <c r="E58" s="12"/>
      <c r="F58" s="12"/>
      <c r="G58" s="12"/>
      <c r="H58" s="12"/>
      <c r="I58" s="12"/>
      <c r="J58" s="12"/>
      <c r="K58" s="12"/>
      <c r="L58" s="12"/>
      <c r="M58" s="12">
        <f>E58</f>
        <v>0</v>
      </c>
      <c r="N58" s="13">
        <f t="shared" si="3"/>
        <v>0</v>
      </c>
      <c r="O58" t="s">
        <v>56</v>
      </c>
    </row>
    <row r="59" spans="1:15" ht="16.5" thickBot="1">
      <c r="A59" s="8"/>
      <c r="B59" s="18" t="s">
        <v>131</v>
      </c>
      <c r="C59" s="12">
        <v>1</v>
      </c>
      <c r="D59" s="12">
        <v>4</v>
      </c>
      <c r="E59" s="12"/>
      <c r="F59" s="12"/>
      <c r="G59" s="12"/>
      <c r="H59" s="12">
        <v>209.16</v>
      </c>
      <c r="I59" s="12"/>
      <c r="J59" s="12"/>
      <c r="K59" s="12"/>
      <c r="L59" s="12"/>
      <c r="M59" s="12"/>
      <c r="N59" s="13">
        <f t="shared" si="3"/>
        <v>209.16</v>
      </c>
      <c r="O59" t="s">
        <v>133</v>
      </c>
    </row>
    <row r="60" spans="1:15" ht="16.5" thickBot="1">
      <c r="A60" s="8"/>
      <c r="B60" s="18" t="s">
        <v>131</v>
      </c>
      <c r="C60" s="12">
        <v>1</v>
      </c>
      <c r="D60" s="12">
        <v>4</v>
      </c>
      <c r="E60" s="12"/>
      <c r="F60" s="12"/>
      <c r="G60" s="12"/>
      <c r="H60" s="12">
        <v>400</v>
      </c>
      <c r="I60" s="12"/>
      <c r="J60" s="12"/>
      <c r="K60" s="12"/>
      <c r="L60" s="12"/>
      <c r="M60" s="12"/>
      <c r="N60" s="13">
        <f t="shared" si="3"/>
        <v>400</v>
      </c>
      <c r="O60" t="s">
        <v>134</v>
      </c>
    </row>
    <row r="61" spans="1:15" ht="26.25" thickBot="1">
      <c r="A61" s="8">
        <v>9</v>
      </c>
      <c r="B61" s="18" t="s">
        <v>109</v>
      </c>
      <c r="C61" s="12">
        <v>2</v>
      </c>
      <c r="D61" s="12">
        <v>4</v>
      </c>
      <c r="E61" s="12"/>
      <c r="F61" s="12"/>
      <c r="G61" s="12"/>
      <c r="H61" s="12"/>
      <c r="I61" s="12"/>
      <c r="J61" s="12"/>
      <c r="K61" s="12"/>
      <c r="L61" s="12"/>
      <c r="M61" s="12">
        <f>E61*C61</f>
        <v>0</v>
      </c>
      <c r="N61" s="13">
        <f t="shared" si="3"/>
        <v>0</v>
      </c>
      <c r="O61" s="26" t="s">
        <v>132</v>
      </c>
    </row>
    <row r="62" spans="1:15" ht="30.75" thickBot="1">
      <c r="A62" s="8">
        <v>10</v>
      </c>
      <c r="B62" s="18" t="s">
        <v>110</v>
      </c>
      <c r="C62" s="12">
        <v>1</v>
      </c>
      <c r="D62" s="12">
        <v>6</v>
      </c>
      <c r="E62" s="12"/>
      <c r="F62" s="12"/>
      <c r="G62" s="12"/>
      <c r="H62" s="12"/>
      <c r="I62" s="12"/>
      <c r="J62" s="12"/>
      <c r="K62" s="12"/>
      <c r="L62" s="12"/>
      <c r="M62" s="12">
        <f aca="true" t="shared" si="4" ref="M62:M67">E62</f>
        <v>0</v>
      </c>
      <c r="N62" s="13">
        <f t="shared" si="3"/>
        <v>0</v>
      </c>
      <c r="O62" t="s">
        <v>58</v>
      </c>
    </row>
    <row r="63" spans="1:14" ht="16.5" thickBot="1">
      <c r="A63" s="8">
        <v>11</v>
      </c>
      <c r="B63" s="18" t="s">
        <v>111</v>
      </c>
      <c r="C63" s="12">
        <v>1</v>
      </c>
      <c r="D63" s="12">
        <v>8</v>
      </c>
      <c r="E63" s="12"/>
      <c r="F63" s="12"/>
      <c r="G63" s="12"/>
      <c r="H63" s="12"/>
      <c r="I63" s="12"/>
      <c r="J63" s="12"/>
      <c r="K63" s="12"/>
      <c r="L63" s="12"/>
      <c r="M63" s="12">
        <f t="shared" si="4"/>
        <v>0</v>
      </c>
      <c r="N63" s="13">
        <f t="shared" si="3"/>
        <v>0</v>
      </c>
    </row>
    <row r="64" spans="1:15" ht="16.5" thickBot="1">
      <c r="A64" s="8">
        <v>12</v>
      </c>
      <c r="B64" s="18" t="s">
        <v>112</v>
      </c>
      <c r="C64" s="12">
        <v>1</v>
      </c>
      <c r="D64" s="12">
        <v>10</v>
      </c>
      <c r="E64" s="12"/>
      <c r="F64" s="12"/>
      <c r="G64" s="12"/>
      <c r="H64" s="12">
        <v>1499.63</v>
      </c>
      <c r="I64" s="12"/>
      <c r="J64" s="12"/>
      <c r="K64" s="12"/>
      <c r="L64" s="12"/>
      <c r="M64" s="12">
        <f t="shared" si="4"/>
        <v>0</v>
      </c>
      <c r="N64" s="13">
        <f t="shared" si="3"/>
        <v>1499.63</v>
      </c>
      <c r="O64" t="s">
        <v>59</v>
      </c>
    </row>
    <row r="65" spans="1:15" ht="16.5" thickBot="1">
      <c r="A65" s="8">
        <v>13</v>
      </c>
      <c r="B65" s="18" t="s">
        <v>112</v>
      </c>
      <c r="C65" s="12">
        <v>1</v>
      </c>
      <c r="D65" s="12">
        <v>11</v>
      </c>
      <c r="E65" s="12"/>
      <c r="F65" s="12"/>
      <c r="G65" s="12"/>
      <c r="H65" s="12">
        <v>1642.49</v>
      </c>
      <c r="I65" s="12"/>
      <c r="J65" s="12"/>
      <c r="K65" s="12"/>
      <c r="L65" s="12"/>
      <c r="M65" s="12">
        <f t="shared" si="4"/>
        <v>0</v>
      </c>
      <c r="N65" s="13">
        <f t="shared" si="3"/>
        <v>1642.49</v>
      </c>
      <c r="O65" t="s">
        <v>60</v>
      </c>
    </row>
    <row r="66" spans="1:15" ht="16.5" thickBot="1">
      <c r="A66" s="8">
        <v>14</v>
      </c>
      <c r="B66" s="18" t="s">
        <v>61</v>
      </c>
      <c r="C66" s="12">
        <v>1</v>
      </c>
      <c r="D66" s="12">
        <v>11</v>
      </c>
      <c r="E66" s="12"/>
      <c r="F66" s="12"/>
      <c r="G66" s="12"/>
      <c r="H66" s="12">
        <v>4631.19</v>
      </c>
      <c r="I66" s="12"/>
      <c r="J66" s="12"/>
      <c r="K66" s="12"/>
      <c r="L66" s="12"/>
      <c r="M66" s="12">
        <f t="shared" si="4"/>
        <v>0</v>
      </c>
      <c r="N66" s="13">
        <f t="shared" si="3"/>
        <v>4631.19</v>
      </c>
      <c r="O66" t="s">
        <v>62</v>
      </c>
    </row>
    <row r="67" spans="1:15" ht="16.5" thickBot="1">
      <c r="A67" s="8">
        <v>15</v>
      </c>
      <c r="B67" s="18" t="s">
        <v>124</v>
      </c>
      <c r="C67" s="12">
        <v>1</v>
      </c>
      <c r="D67" s="12">
        <v>13</v>
      </c>
      <c r="E67" s="12"/>
      <c r="F67" s="12"/>
      <c r="G67" s="12"/>
      <c r="H67" s="12"/>
      <c r="I67" s="12"/>
      <c r="J67" s="12"/>
      <c r="K67" s="12"/>
      <c r="L67" s="12"/>
      <c r="M67" s="12">
        <f t="shared" si="4"/>
        <v>0</v>
      </c>
      <c r="N67" s="13">
        <f t="shared" si="3"/>
        <v>0</v>
      </c>
      <c r="O67" t="s">
        <v>125</v>
      </c>
    </row>
    <row r="68" spans="1:14" ht="16.5" thickBot="1">
      <c r="A68" s="19"/>
      <c r="B68" s="15" t="s">
        <v>21</v>
      </c>
      <c r="C68" s="16">
        <f>SUM(C47:C67)</f>
        <v>23</v>
      </c>
      <c r="D68" s="16"/>
      <c r="E68" s="16">
        <f>SUM(E47:E67)</f>
        <v>0</v>
      </c>
      <c r="F68" s="16">
        <f>SUM(F47:F66)</f>
        <v>0</v>
      </c>
      <c r="G68" s="16">
        <f>SUM(G47:G67)</f>
        <v>0</v>
      </c>
      <c r="H68" s="16">
        <f>SUM(H47:H66)</f>
        <v>26435.350000000002</v>
      </c>
      <c r="I68" s="16">
        <f>SUM(I47:I66)</f>
        <v>0</v>
      </c>
      <c r="J68" s="16"/>
      <c r="K68" s="16"/>
      <c r="L68" s="16"/>
      <c r="M68" s="16">
        <f>SUM(M47:M67)</f>
        <v>0</v>
      </c>
      <c r="N68" s="16">
        <f>SUM(N47:N67)</f>
        <v>26435.350000000002</v>
      </c>
    </row>
    <row r="69" spans="1:14" ht="16.5" customHeight="1" thickBot="1">
      <c r="A69" s="100" t="s">
        <v>22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5" ht="16.5" thickBot="1">
      <c r="A70" s="8">
        <v>1</v>
      </c>
      <c r="B70" s="18" t="s">
        <v>114</v>
      </c>
      <c r="C70" s="12">
        <v>1</v>
      </c>
      <c r="D70" s="12">
        <v>2</v>
      </c>
      <c r="E70" s="12"/>
      <c r="F70" s="12"/>
      <c r="G70" s="12"/>
      <c r="H70" s="12"/>
      <c r="I70" s="12"/>
      <c r="J70" s="12"/>
      <c r="K70" s="12"/>
      <c r="L70" s="12"/>
      <c r="M70" s="12">
        <f>E70</f>
        <v>0</v>
      </c>
      <c r="N70" s="13">
        <f aca="true" t="shared" si="5" ref="N70:N84">(E70+G70+F70+H70+I70+J70+K70+L70)*C70</f>
        <v>0</v>
      </c>
      <c r="O70" t="s">
        <v>63</v>
      </c>
    </row>
    <row r="71" spans="1:14" ht="16.5" thickBot="1">
      <c r="A71" s="8">
        <v>2</v>
      </c>
      <c r="B71" s="18" t="s">
        <v>115</v>
      </c>
      <c r="C71" s="12">
        <v>2</v>
      </c>
      <c r="D71" s="12">
        <v>1</v>
      </c>
      <c r="E71" s="13"/>
      <c r="F71" s="12"/>
      <c r="G71" s="12"/>
      <c r="H71" s="12"/>
      <c r="I71" s="12"/>
      <c r="J71" s="12"/>
      <c r="K71" s="12"/>
      <c r="L71" s="12"/>
      <c r="M71" s="13">
        <f>E71*C71</f>
        <v>0</v>
      </c>
      <c r="N71" s="13">
        <f t="shared" si="5"/>
        <v>0</v>
      </c>
    </row>
    <row r="72" spans="1:15" ht="26.25" thickBot="1">
      <c r="A72" s="8">
        <v>3</v>
      </c>
      <c r="B72" s="18" t="s">
        <v>116</v>
      </c>
      <c r="C72" s="12">
        <v>5</v>
      </c>
      <c r="D72" s="12">
        <v>4</v>
      </c>
      <c r="E72" s="13"/>
      <c r="F72" s="12"/>
      <c r="G72" s="12"/>
      <c r="H72" s="12">
        <v>386.2</v>
      </c>
      <c r="I72" s="12"/>
      <c r="J72" s="12"/>
      <c r="K72" s="12"/>
      <c r="L72" s="12"/>
      <c r="M72" s="12">
        <f>E72*C72</f>
        <v>0</v>
      </c>
      <c r="N72" s="13">
        <f t="shared" si="5"/>
        <v>1931</v>
      </c>
      <c r="O72" s="26" t="s">
        <v>67</v>
      </c>
    </row>
    <row r="73" spans="1:15" ht="16.5" thickBot="1">
      <c r="A73" s="8">
        <v>4</v>
      </c>
      <c r="B73" s="18" t="s">
        <v>117</v>
      </c>
      <c r="C73" s="12">
        <v>2</v>
      </c>
      <c r="D73" s="12">
        <v>1</v>
      </c>
      <c r="E73" s="13"/>
      <c r="F73" s="12"/>
      <c r="G73" s="12"/>
      <c r="H73" s="12">
        <v>1030.76</v>
      </c>
      <c r="I73" s="12"/>
      <c r="J73" s="12"/>
      <c r="K73" s="12"/>
      <c r="L73" s="12"/>
      <c r="M73" s="13">
        <f>E73*C73</f>
        <v>0</v>
      </c>
      <c r="N73" s="13">
        <f t="shared" si="5"/>
        <v>2061.52</v>
      </c>
      <c r="O73" t="s">
        <v>64</v>
      </c>
    </row>
    <row r="74" spans="1:15" ht="16.5" thickBot="1">
      <c r="A74" s="8">
        <v>5</v>
      </c>
      <c r="B74" s="18" t="s">
        <v>118</v>
      </c>
      <c r="C74" s="12">
        <v>1</v>
      </c>
      <c r="D74" s="12">
        <v>4</v>
      </c>
      <c r="E74" s="12"/>
      <c r="F74" s="12"/>
      <c r="G74" s="12"/>
      <c r="H74" s="13">
        <v>4881.06</v>
      </c>
      <c r="I74" s="12"/>
      <c r="J74" s="12"/>
      <c r="K74" s="12"/>
      <c r="L74" s="12"/>
      <c r="M74" s="12">
        <f>E74</f>
        <v>0</v>
      </c>
      <c r="N74" s="13">
        <f t="shared" si="5"/>
        <v>4881.06</v>
      </c>
      <c r="O74" t="s">
        <v>66</v>
      </c>
    </row>
    <row r="75" spans="1:14" ht="16.5" thickBot="1">
      <c r="A75" s="8">
        <v>6</v>
      </c>
      <c r="B75" s="18" t="s">
        <v>119</v>
      </c>
      <c r="C75" s="12">
        <v>3</v>
      </c>
      <c r="D75" s="12">
        <v>1</v>
      </c>
      <c r="E75" s="13"/>
      <c r="F75" s="12"/>
      <c r="G75" s="12"/>
      <c r="H75" s="12">
        <v>1221</v>
      </c>
      <c r="I75" s="12"/>
      <c r="J75" s="12"/>
      <c r="K75" s="12"/>
      <c r="L75" s="12"/>
      <c r="M75" s="13">
        <f>E75*C75</f>
        <v>0</v>
      </c>
      <c r="N75" s="13">
        <f t="shared" si="5"/>
        <v>3663</v>
      </c>
    </row>
    <row r="76" spans="1:14" ht="16.5" thickBot="1">
      <c r="A76" s="8"/>
      <c r="B76" s="18" t="s">
        <v>119</v>
      </c>
      <c r="C76" s="12">
        <v>8</v>
      </c>
      <c r="D76" s="12">
        <v>1</v>
      </c>
      <c r="E76" s="13"/>
      <c r="F76" s="12"/>
      <c r="G76" s="12"/>
      <c r="H76" s="12"/>
      <c r="I76" s="12"/>
      <c r="J76" s="12"/>
      <c r="K76" s="12"/>
      <c r="L76" s="12"/>
      <c r="M76" s="13">
        <f>E76*C76</f>
        <v>0</v>
      </c>
      <c r="N76" s="13">
        <f t="shared" si="5"/>
        <v>0</v>
      </c>
    </row>
    <row r="77" spans="1:14" ht="16.5" thickBot="1">
      <c r="A77" s="8"/>
      <c r="B77" s="18" t="s">
        <v>119</v>
      </c>
      <c r="C77" s="12">
        <v>2</v>
      </c>
      <c r="D77" s="12">
        <v>1</v>
      </c>
      <c r="E77" s="13"/>
      <c r="F77" s="12"/>
      <c r="G77" s="12"/>
      <c r="H77" s="12">
        <v>325.15</v>
      </c>
      <c r="I77" s="12"/>
      <c r="J77" s="12"/>
      <c r="K77" s="12"/>
      <c r="L77" s="12"/>
      <c r="M77" s="13">
        <f>E77*C77</f>
        <v>0</v>
      </c>
      <c r="N77" s="13">
        <f t="shared" si="5"/>
        <v>650.3</v>
      </c>
    </row>
    <row r="78" spans="1:14" ht="16.5" thickBot="1">
      <c r="A78" s="8"/>
      <c r="B78" s="18" t="s">
        <v>119</v>
      </c>
      <c r="C78" s="12">
        <v>2</v>
      </c>
      <c r="D78" s="12">
        <v>1</v>
      </c>
      <c r="E78" s="13"/>
      <c r="F78" s="12"/>
      <c r="G78" s="12"/>
      <c r="H78" s="12">
        <v>610.5</v>
      </c>
      <c r="I78" s="12"/>
      <c r="J78" s="12"/>
      <c r="K78" s="12"/>
      <c r="L78" s="12"/>
      <c r="M78" s="13">
        <f>E78*C78</f>
        <v>0</v>
      </c>
      <c r="N78" s="13">
        <f t="shared" si="5"/>
        <v>1221</v>
      </c>
    </row>
    <row r="79" spans="1:15" ht="16.5" thickBot="1">
      <c r="A79" s="8">
        <v>7</v>
      </c>
      <c r="B79" s="18" t="s">
        <v>122</v>
      </c>
      <c r="C79" s="12">
        <v>2</v>
      </c>
      <c r="D79" s="12">
        <v>4</v>
      </c>
      <c r="E79" s="12"/>
      <c r="F79" s="12"/>
      <c r="G79" s="12"/>
      <c r="H79" s="12">
        <v>3486.68</v>
      </c>
      <c r="I79" s="12"/>
      <c r="J79" s="12"/>
      <c r="K79" s="12"/>
      <c r="L79" s="12"/>
      <c r="M79" s="12">
        <f>E79</f>
        <v>0</v>
      </c>
      <c r="N79" s="13">
        <f t="shared" si="5"/>
        <v>6973.36</v>
      </c>
      <c r="O79" t="s">
        <v>69</v>
      </c>
    </row>
    <row r="80" spans="1:15" ht="16.5" thickBot="1">
      <c r="A80" s="8">
        <v>8</v>
      </c>
      <c r="B80" s="18" t="s">
        <v>122</v>
      </c>
      <c r="C80" s="12">
        <v>1</v>
      </c>
      <c r="D80" s="12">
        <v>3</v>
      </c>
      <c r="E80" s="12"/>
      <c r="F80" s="12"/>
      <c r="G80" s="12"/>
      <c r="H80" s="12"/>
      <c r="I80" s="12"/>
      <c r="J80" s="12"/>
      <c r="K80" s="12"/>
      <c r="L80" s="12"/>
      <c r="M80" s="12">
        <f>E80</f>
        <v>0</v>
      </c>
      <c r="N80" s="13">
        <f t="shared" si="5"/>
        <v>0</v>
      </c>
      <c r="O80" t="s">
        <v>75</v>
      </c>
    </row>
    <row r="81" spans="1:15" ht="16.5" thickBot="1">
      <c r="A81" s="8">
        <v>9</v>
      </c>
      <c r="B81" s="18" t="s">
        <v>120</v>
      </c>
      <c r="C81" s="12">
        <v>1</v>
      </c>
      <c r="D81" s="12">
        <v>4</v>
      </c>
      <c r="E81" s="12"/>
      <c r="F81" s="12"/>
      <c r="G81" s="12"/>
      <c r="H81" s="12">
        <v>2301.46</v>
      </c>
      <c r="I81" s="12"/>
      <c r="J81" s="12"/>
      <c r="K81" s="12"/>
      <c r="L81" s="12"/>
      <c r="M81" s="12">
        <f>E81</f>
        <v>0</v>
      </c>
      <c r="N81" s="13">
        <f t="shared" si="5"/>
        <v>2301.46</v>
      </c>
      <c r="O81" t="s">
        <v>71</v>
      </c>
    </row>
    <row r="82" spans="1:15" ht="16.5" thickBot="1">
      <c r="A82" s="8">
        <v>10</v>
      </c>
      <c r="B82" s="18" t="s">
        <v>70</v>
      </c>
      <c r="C82" s="12">
        <v>2</v>
      </c>
      <c r="D82" s="12">
        <v>6</v>
      </c>
      <c r="E82" s="12"/>
      <c r="F82" s="12"/>
      <c r="G82" s="12"/>
      <c r="H82" s="12">
        <v>2092.95</v>
      </c>
      <c r="I82" s="12"/>
      <c r="J82" s="12"/>
      <c r="K82" s="12"/>
      <c r="L82" s="12"/>
      <c r="M82" s="13">
        <f>E82*C82</f>
        <v>0</v>
      </c>
      <c r="N82" s="13">
        <f t="shared" si="5"/>
        <v>4185.9</v>
      </c>
      <c r="O82" t="s">
        <v>72</v>
      </c>
    </row>
    <row r="83" spans="1:14" ht="16.5" thickBot="1">
      <c r="A83" s="8">
        <v>11</v>
      </c>
      <c r="B83" s="18" t="s">
        <v>68</v>
      </c>
      <c r="C83" s="12">
        <v>1</v>
      </c>
      <c r="D83" s="12">
        <v>6</v>
      </c>
      <c r="E83" s="12"/>
      <c r="F83" s="12"/>
      <c r="G83" s="12"/>
      <c r="H83" s="12"/>
      <c r="I83" s="12"/>
      <c r="J83" s="12"/>
      <c r="K83" s="12"/>
      <c r="L83" s="12"/>
      <c r="M83" s="12">
        <f>E83</f>
        <v>0</v>
      </c>
      <c r="N83" s="13">
        <f t="shared" si="5"/>
        <v>0</v>
      </c>
    </row>
    <row r="84" spans="1:15" ht="16.5" thickBot="1">
      <c r="A84" s="8">
        <v>12</v>
      </c>
      <c r="B84" s="18" t="s">
        <v>121</v>
      </c>
      <c r="C84" s="12">
        <v>2</v>
      </c>
      <c r="D84" s="12">
        <v>1</v>
      </c>
      <c r="E84" s="13"/>
      <c r="F84" s="12"/>
      <c r="G84" s="12"/>
      <c r="H84" s="12">
        <v>80.95</v>
      </c>
      <c r="I84" s="12"/>
      <c r="J84" s="12"/>
      <c r="K84" s="12"/>
      <c r="L84" s="12"/>
      <c r="M84" s="13">
        <f>E84*C84</f>
        <v>0</v>
      </c>
      <c r="N84" s="13">
        <f t="shared" si="5"/>
        <v>161.9</v>
      </c>
      <c r="O84" t="s">
        <v>73</v>
      </c>
    </row>
    <row r="85" spans="1:14" ht="16.5" thickBot="1">
      <c r="A85" s="25"/>
      <c r="B85" s="15" t="s">
        <v>21</v>
      </c>
      <c r="C85" s="16">
        <f>SUM(C70:C84)</f>
        <v>35</v>
      </c>
      <c r="D85" s="16"/>
      <c r="E85" s="16">
        <f aca="true" t="shared" si="6" ref="E85:N85">SUM(E70:E84)</f>
        <v>0</v>
      </c>
      <c r="F85" s="16">
        <f t="shared" si="6"/>
        <v>0</v>
      </c>
      <c r="G85" s="16">
        <f t="shared" si="6"/>
        <v>0</v>
      </c>
      <c r="H85" s="16">
        <f t="shared" si="6"/>
        <v>16416.710000000003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28030.5</v>
      </c>
    </row>
    <row r="86" spans="1:14" ht="16.5" customHeight="1" thickBot="1">
      <c r="A86" s="100" t="s">
        <v>139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5" ht="16.5" thickBot="1">
      <c r="A87" s="8">
        <v>1</v>
      </c>
      <c r="B87" s="18" t="s">
        <v>140</v>
      </c>
      <c r="C87" s="12">
        <v>1</v>
      </c>
      <c r="D87" s="12">
        <v>12</v>
      </c>
      <c r="E87" s="12">
        <v>2958.48</v>
      </c>
      <c r="F87" s="12"/>
      <c r="G87" s="12">
        <v>443.77</v>
      </c>
      <c r="H87" s="12">
        <v>3550.18</v>
      </c>
      <c r="I87" s="12"/>
      <c r="J87" s="12"/>
      <c r="K87" s="12"/>
      <c r="L87" s="12"/>
      <c r="M87" s="12">
        <f>E87</f>
        <v>2958.48</v>
      </c>
      <c r="N87" s="13">
        <f aca="true" t="shared" si="7" ref="N87:N94">(E87+G87+F87+H87+I87+J87+K87+L87)*C87</f>
        <v>6952.43</v>
      </c>
      <c r="O87" t="s">
        <v>142</v>
      </c>
    </row>
    <row r="88" spans="1:15" ht="16.5" thickBot="1">
      <c r="A88" s="8">
        <v>2</v>
      </c>
      <c r="B88" s="18" t="s">
        <v>141</v>
      </c>
      <c r="C88" s="12">
        <v>1</v>
      </c>
      <c r="D88" s="12">
        <v>6</v>
      </c>
      <c r="E88" s="13">
        <v>1717.95</v>
      </c>
      <c r="F88" s="12"/>
      <c r="G88" s="12">
        <v>257.69</v>
      </c>
      <c r="H88" s="12">
        <v>3782.05</v>
      </c>
      <c r="I88" s="12"/>
      <c r="J88" s="12"/>
      <c r="K88" s="12"/>
      <c r="L88" s="12"/>
      <c r="M88" s="13">
        <f>E88*C88</f>
        <v>1717.95</v>
      </c>
      <c r="N88" s="13">
        <f t="shared" si="7"/>
        <v>5757.6900000000005</v>
      </c>
      <c r="O88" t="s">
        <v>143</v>
      </c>
    </row>
    <row r="89" spans="1:15" ht="16.5" thickBot="1">
      <c r="A89" s="8">
        <v>3</v>
      </c>
      <c r="B89" s="18" t="s">
        <v>141</v>
      </c>
      <c r="C89" s="12">
        <v>1</v>
      </c>
      <c r="D89" s="12">
        <v>5</v>
      </c>
      <c r="E89" s="13">
        <v>1548.23</v>
      </c>
      <c r="F89" s="12"/>
      <c r="G89" s="12">
        <v>232.23</v>
      </c>
      <c r="H89" s="12">
        <v>3560.93</v>
      </c>
      <c r="I89" s="12"/>
      <c r="J89" s="12"/>
      <c r="K89" s="12"/>
      <c r="L89" s="12"/>
      <c r="M89" s="12">
        <f>E89*C89</f>
        <v>1548.23</v>
      </c>
      <c r="N89" s="13">
        <f t="shared" si="7"/>
        <v>5341.389999999999</v>
      </c>
      <c r="O89" s="26" t="s">
        <v>144</v>
      </c>
    </row>
    <row r="90" spans="1:15" ht="16.5" thickBot="1">
      <c r="A90" s="8">
        <v>4</v>
      </c>
      <c r="B90" s="18" t="s">
        <v>141</v>
      </c>
      <c r="C90" s="12">
        <v>1</v>
      </c>
      <c r="D90" s="12">
        <v>4</v>
      </c>
      <c r="E90" s="13">
        <v>1394.38</v>
      </c>
      <c r="F90" s="12"/>
      <c r="G90" s="12">
        <v>209.16</v>
      </c>
      <c r="H90" s="12">
        <v>3137.22</v>
      </c>
      <c r="I90" s="12"/>
      <c r="J90" s="12"/>
      <c r="K90" s="12"/>
      <c r="L90" s="12"/>
      <c r="M90" s="13">
        <f>E90*C90</f>
        <v>1394.38</v>
      </c>
      <c r="N90" s="13">
        <f t="shared" si="7"/>
        <v>4740.76</v>
      </c>
      <c r="O90" t="s">
        <v>145</v>
      </c>
    </row>
    <row r="91" spans="1:15" ht="16.5" thickBot="1">
      <c r="A91" s="8">
        <v>5</v>
      </c>
      <c r="B91" s="18" t="s">
        <v>150</v>
      </c>
      <c r="C91" s="12">
        <v>1</v>
      </c>
      <c r="D91" s="12">
        <v>7</v>
      </c>
      <c r="E91" s="12">
        <v>1887.67</v>
      </c>
      <c r="F91" s="12"/>
      <c r="G91" s="12">
        <v>283.15</v>
      </c>
      <c r="H91" s="13">
        <v>3964.1</v>
      </c>
      <c r="I91" s="12"/>
      <c r="J91" s="12"/>
      <c r="K91" s="12"/>
      <c r="L91" s="12"/>
      <c r="M91" s="12">
        <f>E91</f>
        <v>1887.67</v>
      </c>
      <c r="N91" s="13">
        <f t="shared" si="7"/>
        <v>6134.92</v>
      </c>
      <c r="O91" t="s">
        <v>146</v>
      </c>
    </row>
    <row r="92" spans="1:15" ht="16.5" thickBot="1">
      <c r="A92" s="8">
        <v>6</v>
      </c>
      <c r="B92" s="18" t="s">
        <v>151</v>
      </c>
      <c r="C92" s="12">
        <v>1</v>
      </c>
      <c r="D92" s="12">
        <v>4</v>
      </c>
      <c r="E92" s="13">
        <v>1394.38</v>
      </c>
      <c r="F92" s="12"/>
      <c r="G92" s="12">
        <v>209.16</v>
      </c>
      <c r="H92" s="12">
        <v>3625.38</v>
      </c>
      <c r="I92" s="12"/>
      <c r="J92" s="12"/>
      <c r="K92" s="12"/>
      <c r="L92" s="12"/>
      <c r="M92" s="13">
        <f>E92*C92</f>
        <v>1394.38</v>
      </c>
      <c r="N92" s="13">
        <f t="shared" si="7"/>
        <v>5228.92</v>
      </c>
      <c r="O92" t="s">
        <v>147</v>
      </c>
    </row>
    <row r="93" spans="1:15" ht="16.5" thickBot="1">
      <c r="A93" s="8">
        <v>7</v>
      </c>
      <c r="B93" s="18" t="s">
        <v>152</v>
      </c>
      <c r="C93" s="12">
        <v>1</v>
      </c>
      <c r="D93" s="12">
        <v>2</v>
      </c>
      <c r="E93" s="12">
        <v>1269.84</v>
      </c>
      <c r="F93" s="12"/>
      <c r="G93" s="12">
        <v>190.48</v>
      </c>
      <c r="H93" s="12">
        <v>1777.77</v>
      </c>
      <c r="I93" s="12"/>
      <c r="J93" s="12"/>
      <c r="K93" s="12"/>
      <c r="L93" s="12"/>
      <c r="M93" s="12">
        <f>E93</f>
        <v>1269.84</v>
      </c>
      <c r="N93" s="13">
        <f t="shared" si="7"/>
        <v>3238.09</v>
      </c>
      <c r="O93" t="s">
        <v>148</v>
      </c>
    </row>
    <row r="94" spans="1:15" ht="16.5" thickBot="1">
      <c r="A94" s="8">
        <v>8</v>
      </c>
      <c r="B94" s="18" t="s">
        <v>153</v>
      </c>
      <c r="C94" s="12">
        <v>1</v>
      </c>
      <c r="D94" s="12">
        <v>2</v>
      </c>
      <c r="E94" s="12">
        <v>1269.84</v>
      </c>
      <c r="F94" s="12"/>
      <c r="G94" s="12">
        <v>190.48</v>
      </c>
      <c r="H94" s="12">
        <v>2539.68</v>
      </c>
      <c r="I94" s="12"/>
      <c r="J94" s="12"/>
      <c r="K94" s="12"/>
      <c r="L94" s="12"/>
      <c r="M94" s="12">
        <f>E94</f>
        <v>1269.84</v>
      </c>
      <c r="N94" s="13">
        <f t="shared" si="7"/>
        <v>4000</v>
      </c>
      <c r="O94" t="s">
        <v>149</v>
      </c>
    </row>
    <row r="95" spans="1:14" ht="16.5" thickBot="1">
      <c r="A95" s="25"/>
      <c r="B95" s="15" t="s">
        <v>21</v>
      </c>
      <c r="C95" s="16">
        <f>SUM(C87:C94)</f>
        <v>8</v>
      </c>
      <c r="D95" s="16"/>
      <c r="E95" s="16">
        <f aca="true" t="shared" si="8" ref="E95:N95">SUM(E87:E94)</f>
        <v>13440.77</v>
      </c>
      <c r="F95" s="16">
        <f t="shared" si="8"/>
        <v>0</v>
      </c>
      <c r="G95" s="16">
        <f t="shared" si="8"/>
        <v>2016.1200000000001</v>
      </c>
      <c r="H95" s="16">
        <f t="shared" si="8"/>
        <v>25937.31</v>
      </c>
      <c r="I95" s="16">
        <f t="shared" si="8"/>
        <v>0</v>
      </c>
      <c r="J95" s="16">
        <f t="shared" si="8"/>
        <v>0</v>
      </c>
      <c r="K95" s="16">
        <f t="shared" si="8"/>
        <v>0</v>
      </c>
      <c r="L95" s="16">
        <f t="shared" si="8"/>
        <v>0</v>
      </c>
      <c r="M95" s="16">
        <f t="shared" si="8"/>
        <v>13440.77</v>
      </c>
      <c r="N95" s="16">
        <f t="shared" si="8"/>
        <v>41394.2</v>
      </c>
    </row>
    <row r="96" spans="1:14" ht="16.5" thickBot="1">
      <c r="A96" s="8"/>
      <c r="B96" s="20" t="s">
        <v>23</v>
      </c>
      <c r="C96" s="21">
        <f aca="true" t="shared" si="9" ref="C96:H96">C45+C68+C85+C95</f>
        <v>94</v>
      </c>
      <c r="D96" s="21">
        <f t="shared" si="9"/>
        <v>0</v>
      </c>
      <c r="E96" s="22">
        <f t="shared" si="9"/>
        <v>13440.77</v>
      </c>
      <c r="F96" s="22">
        <f t="shared" si="9"/>
        <v>0</v>
      </c>
      <c r="G96" s="22">
        <f t="shared" si="9"/>
        <v>2016.1200000000001</v>
      </c>
      <c r="H96" s="22">
        <f t="shared" si="9"/>
        <v>216926.84000000003</v>
      </c>
      <c r="I96" s="22">
        <f aca="true" t="shared" si="10" ref="I96:N96">I45+I68+I85+I95</f>
        <v>0</v>
      </c>
      <c r="J96" s="22">
        <f t="shared" si="10"/>
        <v>0</v>
      </c>
      <c r="K96" s="22">
        <f t="shared" si="10"/>
        <v>0</v>
      </c>
      <c r="L96" s="22">
        <f t="shared" si="10"/>
        <v>0</v>
      </c>
      <c r="M96" s="22">
        <f t="shared" si="10"/>
        <v>13440.77</v>
      </c>
      <c r="N96" s="22">
        <f t="shared" si="10"/>
        <v>243997.52000000002</v>
      </c>
    </row>
    <row r="100" spans="2:9" ht="15.75">
      <c r="B100" t="s">
        <v>24</v>
      </c>
      <c r="F100" s="3"/>
      <c r="I100" t="s">
        <v>36</v>
      </c>
    </row>
    <row r="103" spans="2:9" ht="12.75">
      <c r="B103" t="s">
        <v>156</v>
      </c>
      <c r="I103" t="s">
        <v>157</v>
      </c>
    </row>
    <row r="104" spans="2:14" ht="12.75">
      <c r="B104" s="7"/>
      <c r="C104" s="7"/>
      <c r="D104" s="7" t="s">
        <v>154</v>
      </c>
      <c r="E104" s="7" t="s">
        <v>155</v>
      </c>
      <c r="F104" s="31">
        <v>0.15</v>
      </c>
      <c r="G104" s="7"/>
      <c r="I104" s="7"/>
      <c r="J104" s="7"/>
      <c r="K104" s="7" t="s">
        <v>154</v>
      </c>
      <c r="L104" s="7" t="s">
        <v>155</v>
      </c>
      <c r="M104" s="7">
        <v>0.15</v>
      </c>
      <c r="N104" s="7"/>
    </row>
    <row r="105" spans="2:14" ht="12.75">
      <c r="B105" s="7">
        <v>1</v>
      </c>
      <c r="C105" s="7"/>
      <c r="D105" s="32">
        <f>N73+N75+N84+N76+N71+N77+N78</f>
        <v>7757.72</v>
      </c>
      <c r="E105" s="7"/>
      <c r="F105" s="7"/>
      <c r="G105" s="7"/>
      <c r="I105" s="7">
        <v>1</v>
      </c>
      <c r="J105" s="7"/>
      <c r="K105" s="7">
        <f>7757.72*12</f>
        <v>93092.64</v>
      </c>
      <c r="L105" s="7"/>
      <c r="M105" s="7"/>
      <c r="N105" s="7"/>
    </row>
    <row r="106" spans="2:14" ht="12.75">
      <c r="B106" s="7">
        <v>2</v>
      </c>
      <c r="C106" s="7"/>
      <c r="D106" s="32">
        <f>H93+H94</f>
        <v>4317.45</v>
      </c>
      <c r="E106" s="7">
        <f>E93+E94</f>
        <v>2539.68</v>
      </c>
      <c r="F106" s="7">
        <f>G93+G94</f>
        <v>380.96</v>
      </c>
      <c r="G106" s="7"/>
      <c r="I106" s="7">
        <v>2</v>
      </c>
      <c r="J106" s="7"/>
      <c r="K106" s="7">
        <f>4317.45*12</f>
        <v>51809.399999999994</v>
      </c>
      <c r="L106" s="7">
        <f>2539.68*12</f>
        <v>30476.159999999996</v>
      </c>
      <c r="M106" s="7">
        <f>380.96*12</f>
        <v>4571.5199999999995</v>
      </c>
      <c r="N106" s="7"/>
    </row>
    <row r="107" spans="2:14" ht="12.75">
      <c r="B107" s="7">
        <v>3</v>
      </c>
      <c r="C107" s="7"/>
      <c r="D107" s="32">
        <f>N39+N40+N80</f>
        <v>3212.21</v>
      </c>
      <c r="E107" s="7"/>
      <c r="F107" s="7"/>
      <c r="G107" s="7"/>
      <c r="I107" s="7">
        <v>3</v>
      </c>
      <c r="J107" s="7"/>
      <c r="K107" s="7">
        <f>3212.21*12</f>
        <v>38546.520000000004</v>
      </c>
      <c r="L107" s="7"/>
      <c r="M107" s="7"/>
      <c r="N107" s="7"/>
    </row>
    <row r="108" spans="2:14" ht="12.75">
      <c r="B108" s="7">
        <v>4</v>
      </c>
      <c r="C108" s="7"/>
      <c r="D108" s="32">
        <f>N35+N59+N60+N61+N72+N74+N79+N81+H90+H92</f>
        <v>27363.63</v>
      </c>
      <c r="E108" s="32">
        <f>E90+E92</f>
        <v>2788.76</v>
      </c>
      <c r="F108" s="7">
        <f>G90+G92</f>
        <v>418.32</v>
      </c>
      <c r="G108" s="7"/>
      <c r="I108" s="7">
        <v>4</v>
      </c>
      <c r="J108" s="7"/>
      <c r="K108" s="7">
        <f>27363.63*12</f>
        <v>328363.56</v>
      </c>
      <c r="L108" s="7">
        <f>2788.76*12</f>
        <v>33465.12</v>
      </c>
      <c r="M108" s="7">
        <f>418.32*12</f>
        <v>5019.84</v>
      </c>
      <c r="N108" s="7"/>
    </row>
    <row r="109" spans="2:14" ht="12.75">
      <c r="B109" s="7">
        <v>5</v>
      </c>
      <c r="C109" s="7"/>
      <c r="D109" s="32">
        <f>H89+N29+N36+N38+N41</f>
        <v>13981.13</v>
      </c>
      <c r="E109" s="32">
        <f>E89</f>
        <v>1548.23</v>
      </c>
      <c r="F109" s="7">
        <f>G89</f>
        <v>232.23</v>
      </c>
      <c r="G109" s="7"/>
      <c r="I109" s="7">
        <v>5</v>
      </c>
      <c r="J109" s="7"/>
      <c r="K109" s="7">
        <f>13981.13*12</f>
        <v>167773.56</v>
      </c>
      <c r="L109" s="7">
        <f>1548.23*12</f>
        <v>18578.760000000002</v>
      </c>
      <c r="M109" s="7">
        <f>232.23*12</f>
        <v>2786.7599999999998</v>
      </c>
      <c r="N109" s="7"/>
    </row>
    <row r="110" spans="2:14" ht="12.75">
      <c r="B110" s="7">
        <v>6</v>
      </c>
      <c r="C110" s="7"/>
      <c r="D110" s="32">
        <f>H88+N37+N62+N82+N83</f>
        <v>8996.64</v>
      </c>
      <c r="E110" s="32">
        <f>E88</f>
        <v>1717.95</v>
      </c>
      <c r="F110" s="7">
        <f>G88</f>
        <v>257.69</v>
      </c>
      <c r="G110" s="7"/>
      <c r="I110" s="7">
        <v>6</v>
      </c>
      <c r="J110" s="7"/>
      <c r="K110" s="7">
        <f>8996.64*12</f>
        <v>107959.68</v>
      </c>
      <c r="L110" s="7">
        <f>1717.95*12</f>
        <v>20615.4</v>
      </c>
      <c r="M110" s="7">
        <f>257.69*12</f>
        <v>3092.2799999999997</v>
      </c>
      <c r="N110" s="7"/>
    </row>
    <row r="111" spans="2:14" ht="12.75">
      <c r="B111" s="7">
        <v>7</v>
      </c>
      <c r="C111" s="7"/>
      <c r="D111" s="32">
        <f>H91</f>
        <v>3964.1</v>
      </c>
      <c r="E111" s="7">
        <f>E91</f>
        <v>1887.67</v>
      </c>
      <c r="F111" s="7">
        <f>G91</f>
        <v>283.15</v>
      </c>
      <c r="G111" s="7"/>
      <c r="I111" s="7">
        <v>7</v>
      </c>
      <c r="J111" s="7"/>
      <c r="K111" s="7">
        <f>3964.1*12</f>
        <v>47569.2</v>
      </c>
      <c r="L111" s="7">
        <f>1887.67*12</f>
        <v>22652.04</v>
      </c>
      <c r="M111" s="7">
        <f>283.15*12</f>
        <v>3397.7999999999997</v>
      </c>
      <c r="N111" s="7"/>
    </row>
    <row r="112" spans="2:14" ht="12.75">
      <c r="B112" s="7">
        <v>8</v>
      </c>
      <c r="C112" s="7"/>
      <c r="D112" s="32">
        <f>N34+N63</f>
        <v>6570</v>
      </c>
      <c r="E112" s="7"/>
      <c r="F112" s="7"/>
      <c r="G112" s="7"/>
      <c r="I112" s="7">
        <v>8</v>
      </c>
      <c r="J112" s="7"/>
      <c r="K112" s="7">
        <f>6570*12</f>
        <v>78840</v>
      </c>
      <c r="L112" s="7"/>
      <c r="M112" s="7"/>
      <c r="N112" s="7"/>
    </row>
    <row r="113" spans="2:14" ht="12.75">
      <c r="B113" s="7">
        <v>9</v>
      </c>
      <c r="C113" s="7"/>
      <c r="D113" s="7"/>
      <c r="E113" s="7"/>
      <c r="F113" s="7"/>
      <c r="G113" s="7"/>
      <c r="I113" s="7">
        <v>9</v>
      </c>
      <c r="J113" s="7"/>
      <c r="K113" s="7"/>
      <c r="L113" s="7"/>
      <c r="M113" s="7"/>
      <c r="N113" s="7"/>
    </row>
    <row r="114" spans="2:14" ht="12.75">
      <c r="B114" s="7">
        <v>10</v>
      </c>
      <c r="C114" s="7"/>
      <c r="D114" s="32">
        <f>N33+N51+N53+N54+N64</f>
        <v>10837.919999999998</v>
      </c>
      <c r="E114" s="7"/>
      <c r="F114" s="7"/>
      <c r="G114" s="7"/>
      <c r="I114" s="7">
        <v>10</v>
      </c>
      <c r="J114" s="7"/>
      <c r="K114" s="7">
        <f>10837.92*12</f>
        <v>130055.04000000001</v>
      </c>
      <c r="L114" s="7"/>
      <c r="M114" s="7"/>
      <c r="N114" s="7"/>
    </row>
    <row r="115" spans="2:14" ht="12.75">
      <c r="B115" s="7">
        <v>11</v>
      </c>
      <c r="C115" s="7"/>
      <c r="D115" s="32">
        <f>N42+N44+N65+N66</f>
        <v>18028</v>
      </c>
      <c r="E115" s="7"/>
      <c r="F115" s="7"/>
      <c r="G115" s="7"/>
      <c r="I115" s="7">
        <v>11</v>
      </c>
      <c r="J115" s="7"/>
      <c r="K115" s="7">
        <f>18028*12</f>
        <v>216336</v>
      </c>
      <c r="L115" s="7"/>
      <c r="M115" s="7"/>
      <c r="N115" s="7"/>
    </row>
    <row r="116" spans="2:14" ht="12.75">
      <c r="B116" s="7">
        <v>12</v>
      </c>
      <c r="C116" s="7"/>
      <c r="D116" s="7">
        <f>H87</f>
        <v>3550.18</v>
      </c>
      <c r="E116" s="7">
        <f>E87</f>
        <v>2958.48</v>
      </c>
      <c r="F116" s="7">
        <f>G87</f>
        <v>443.77</v>
      </c>
      <c r="G116" s="7"/>
      <c r="I116" s="7">
        <v>12</v>
      </c>
      <c r="J116" s="7"/>
      <c r="K116" s="7">
        <f>3550.18*12</f>
        <v>42602.159999999996</v>
      </c>
      <c r="L116" s="7">
        <f>2958.48*12</f>
        <v>35501.76</v>
      </c>
      <c r="M116" s="7">
        <f>443.77*12</f>
        <v>5325.24</v>
      </c>
      <c r="N116" s="7"/>
    </row>
    <row r="117" spans="2:20" ht="15.75">
      <c r="B117" s="7">
        <v>13</v>
      </c>
      <c r="C117" s="7"/>
      <c r="D117" s="32">
        <f>N20+N21+N27+N43+N48+N49+N50+N57+N58+N67</f>
        <v>20797.56</v>
      </c>
      <c r="E117" s="7"/>
      <c r="F117" s="7"/>
      <c r="G117" s="7"/>
      <c r="I117" s="7">
        <v>13</v>
      </c>
      <c r="J117" s="7"/>
      <c r="K117" s="7">
        <f>20797.56*12</f>
        <v>249570.72000000003</v>
      </c>
      <c r="L117" s="7"/>
      <c r="M117" s="7"/>
      <c r="N117" s="7"/>
      <c r="T117" s="1" t="s">
        <v>2</v>
      </c>
    </row>
    <row r="118" spans="2:14" ht="12.75">
      <c r="B118" s="7">
        <v>14</v>
      </c>
      <c r="C118" s="7"/>
      <c r="D118" s="32">
        <f>N22+N23+N24+N26+N28+N30+N52+N55+N56</f>
        <v>30773.28</v>
      </c>
      <c r="E118" s="7"/>
      <c r="F118" s="7"/>
      <c r="G118" s="7"/>
      <c r="I118" s="7">
        <v>14</v>
      </c>
      <c r="J118" s="7"/>
      <c r="K118" s="7">
        <f>30773.28*12</f>
        <v>369279.36</v>
      </c>
      <c r="L118" s="7"/>
      <c r="M118" s="7"/>
      <c r="N118" s="7"/>
    </row>
    <row r="119" spans="2:14" ht="12.75">
      <c r="B119" s="7">
        <v>15</v>
      </c>
      <c r="C119" s="7"/>
      <c r="D119" s="32">
        <f>N19+N25+N31+N32+N47</f>
        <v>39342.350000000006</v>
      </c>
      <c r="E119" s="7"/>
      <c r="F119" s="7"/>
      <c r="G119" s="7"/>
      <c r="I119" s="7">
        <v>15</v>
      </c>
      <c r="J119" s="7"/>
      <c r="K119" s="7">
        <f>39342.35*12</f>
        <v>472108.19999999995</v>
      </c>
      <c r="L119" s="7"/>
      <c r="M119" s="7"/>
      <c r="N119" s="7"/>
    </row>
    <row r="120" spans="2:14" ht="12.75">
      <c r="B120" s="7">
        <v>16</v>
      </c>
      <c r="C120" s="7"/>
      <c r="D120" s="7">
        <f>N17+N18</f>
        <v>29048.46</v>
      </c>
      <c r="E120" s="7"/>
      <c r="F120" s="7"/>
      <c r="G120" s="7"/>
      <c r="I120" s="7">
        <v>16</v>
      </c>
      <c r="J120" s="7"/>
      <c r="K120" s="7">
        <f>29048.46*12</f>
        <v>348581.52</v>
      </c>
      <c r="L120" s="7"/>
      <c r="M120" s="7"/>
      <c r="N120" s="7"/>
    </row>
    <row r="121" spans="2:14" ht="12.75">
      <c r="B121" s="7" t="s">
        <v>123</v>
      </c>
      <c r="C121" s="7"/>
      <c r="D121" s="7">
        <f>SUBTOTAL(9,D105:D120)</f>
        <v>228540.63</v>
      </c>
      <c r="E121" s="7">
        <f>SUBTOTAL(9,E105:E120)</f>
        <v>13440.77</v>
      </c>
      <c r="F121" s="7">
        <f>SUBTOTAL(9,F105:F120)</f>
        <v>2016.12</v>
      </c>
      <c r="G121" s="7">
        <f>D121+E121+F121</f>
        <v>243997.52</v>
      </c>
      <c r="I121" s="7" t="s">
        <v>123</v>
      </c>
      <c r="J121" s="7"/>
      <c r="K121" s="7">
        <f>SUM(K105:K120)</f>
        <v>2742487.56</v>
      </c>
      <c r="L121" s="7">
        <f>SUM(L105:L120)</f>
        <v>161289.24000000002</v>
      </c>
      <c r="M121" s="7">
        <f>SUM(M105:M120)</f>
        <v>24193.440000000002</v>
      </c>
      <c r="N121" s="7">
        <f>K121+L121+M121</f>
        <v>2927970.24</v>
      </c>
    </row>
  </sheetData>
  <sheetProtection/>
  <autoFilter ref="A16:T96"/>
  <mergeCells count="24">
    <mergeCell ref="M11:M13"/>
    <mergeCell ref="N11:N13"/>
    <mergeCell ref="F12:F13"/>
    <mergeCell ref="G12:G13"/>
    <mergeCell ref="J12:J13"/>
    <mergeCell ref="K12:K13"/>
    <mergeCell ref="L12:L13"/>
    <mergeCell ref="H12:H13"/>
    <mergeCell ref="A69:N69"/>
    <mergeCell ref="A46:N46"/>
    <mergeCell ref="A86:N86"/>
    <mergeCell ref="A1:N1"/>
    <mergeCell ref="A3:N3"/>
    <mergeCell ref="A5:N5"/>
    <mergeCell ref="A7:N7"/>
    <mergeCell ref="A8:N8"/>
    <mergeCell ref="A9:N9"/>
    <mergeCell ref="A15:N15"/>
    <mergeCell ref="E11:E13"/>
    <mergeCell ref="F11:L11"/>
    <mergeCell ref="A11:A13"/>
    <mergeCell ref="B11:B13"/>
    <mergeCell ref="C11:C13"/>
    <mergeCell ref="D11:D13"/>
  </mergeCells>
  <printOptions/>
  <pageMargins left="0.5905511811023623" right="0" top="0.5905511811023623" bottom="0.5905511811023623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24.75390625" style="0" customWidth="1"/>
    <col min="2" max="2" width="6.75390625" style="0" customWidth="1"/>
    <col min="3" max="3" width="9.625" style="0" customWidth="1"/>
    <col min="4" max="4" width="6.625" style="0" customWidth="1"/>
    <col min="5" max="5" width="9.625" style="0" customWidth="1"/>
    <col min="6" max="6" width="10.00390625" style="0" customWidth="1"/>
    <col min="7" max="7" width="10.375" style="0" customWidth="1"/>
    <col min="8" max="8" width="10.75390625" style="0" customWidth="1"/>
    <col min="9" max="9" width="8.375" style="0" customWidth="1"/>
    <col min="10" max="10" width="12.00390625" style="0" customWidth="1"/>
    <col min="11" max="11" width="12.125" style="0" customWidth="1"/>
  </cols>
  <sheetData>
    <row r="1" ht="12.75">
      <c r="K1" s="58"/>
    </row>
    <row r="2" spans="1:12" ht="12.75">
      <c r="A2" s="2"/>
      <c r="B2" s="2"/>
      <c r="C2" s="2"/>
      <c r="D2" s="2"/>
      <c r="E2" s="2"/>
      <c r="F2" s="2"/>
      <c r="G2" s="110" t="s">
        <v>212</v>
      </c>
      <c r="H2" s="110"/>
      <c r="I2" s="110"/>
      <c r="J2" s="110"/>
      <c r="K2" s="110"/>
      <c r="L2" s="56"/>
    </row>
    <row r="3" spans="1:14" ht="30.75" customHeight="1">
      <c r="A3" s="2"/>
      <c r="B3" s="2"/>
      <c r="C3" s="2"/>
      <c r="D3" s="2"/>
      <c r="E3" s="2"/>
      <c r="F3" s="2"/>
      <c r="G3" s="111" t="s">
        <v>218</v>
      </c>
      <c r="H3" s="111"/>
      <c r="I3" s="111"/>
      <c r="J3" s="111"/>
      <c r="K3" s="111"/>
      <c r="L3" s="56"/>
      <c r="M3" s="56"/>
      <c r="N3" s="56"/>
    </row>
    <row r="4" spans="1:11" ht="12.75" customHeight="1">
      <c r="A4" s="2"/>
      <c r="B4" s="2"/>
      <c r="C4" s="2"/>
      <c r="D4" s="2"/>
      <c r="E4" s="2"/>
      <c r="F4" s="2"/>
      <c r="G4" s="111" t="s">
        <v>226</v>
      </c>
      <c r="H4" s="111"/>
      <c r="I4" s="111"/>
      <c r="J4" s="111"/>
      <c r="K4" s="111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77"/>
    </row>
    <row r="6" spans="1:11" ht="38.25" customHeight="1">
      <c r="A6" s="129" t="s">
        <v>229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35.25" customHeight="1">
      <c r="A7" s="128" t="s">
        <v>217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05" t="s">
        <v>207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>
      <c r="A9" s="105" t="s">
        <v>219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1" spans="1:11" ht="24" customHeight="1">
      <c r="A11" s="114" t="s">
        <v>7</v>
      </c>
      <c r="B11" s="114" t="s">
        <v>8</v>
      </c>
      <c r="C11" s="118" t="s">
        <v>206</v>
      </c>
      <c r="D11" s="118" t="s">
        <v>210</v>
      </c>
      <c r="E11" s="118" t="s">
        <v>209</v>
      </c>
      <c r="F11" s="130" t="s">
        <v>211</v>
      </c>
      <c r="G11" s="133" t="s">
        <v>222</v>
      </c>
      <c r="H11" s="134"/>
      <c r="I11" s="134"/>
      <c r="J11" s="135"/>
      <c r="K11" s="115" t="s">
        <v>205</v>
      </c>
    </row>
    <row r="12" spans="1:11" ht="25.5" customHeight="1">
      <c r="A12" s="114"/>
      <c r="B12" s="114"/>
      <c r="C12" s="119"/>
      <c r="D12" s="119"/>
      <c r="E12" s="119"/>
      <c r="F12" s="131"/>
      <c r="G12" s="121" t="s">
        <v>223</v>
      </c>
      <c r="H12" s="121" t="s">
        <v>224</v>
      </c>
      <c r="I12" s="124" t="s">
        <v>225</v>
      </c>
      <c r="J12" s="125"/>
      <c r="K12" s="116"/>
    </row>
    <row r="13" spans="1:11" ht="24.75" customHeight="1">
      <c r="A13" s="114"/>
      <c r="B13" s="114"/>
      <c r="C13" s="119"/>
      <c r="D13" s="119"/>
      <c r="E13" s="119"/>
      <c r="F13" s="131"/>
      <c r="G13" s="122"/>
      <c r="H13" s="122"/>
      <c r="I13" s="126"/>
      <c r="J13" s="127"/>
      <c r="K13" s="116"/>
    </row>
    <row r="14" spans="1:11" ht="35.25" customHeight="1">
      <c r="A14" s="114"/>
      <c r="B14" s="114"/>
      <c r="C14" s="120"/>
      <c r="D14" s="120"/>
      <c r="E14" s="120"/>
      <c r="F14" s="132"/>
      <c r="G14" s="123"/>
      <c r="H14" s="123"/>
      <c r="I14" s="59" t="s">
        <v>227</v>
      </c>
      <c r="J14" s="60" t="s">
        <v>208</v>
      </c>
      <c r="K14" s="117"/>
    </row>
    <row r="15" spans="1:11" ht="15.75">
      <c r="A15" s="40">
        <v>2</v>
      </c>
      <c r="B15" s="40">
        <v>4</v>
      </c>
      <c r="C15" s="40">
        <v>5</v>
      </c>
      <c r="D15" s="40">
        <v>6</v>
      </c>
      <c r="E15" s="40">
        <v>7</v>
      </c>
      <c r="F15" s="40">
        <v>8</v>
      </c>
      <c r="G15" s="40">
        <v>9</v>
      </c>
      <c r="H15" s="40"/>
      <c r="I15" s="40"/>
      <c r="J15" s="40">
        <v>10</v>
      </c>
      <c r="K15" s="40">
        <v>11</v>
      </c>
    </row>
    <row r="16" spans="1:11" ht="31.5" customHeight="1">
      <c r="A16" s="112" t="s">
        <v>213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1.5" customHeight="1">
      <c r="A17" s="61" t="s">
        <v>203</v>
      </c>
      <c r="B17" s="62"/>
      <c r="C17" s="63"/>
      <c r="D17" s="64"/>
      <c r="E17" s="65"/>
      <c r="F17" s="65"/>
      <c r="G17" s="65"/>
      <c r="H17" s="65"/>
      <c r="I17" s="65"/>
      <c r="J17" s="65"/>
      <c r="K17" s="65"/>
    </row>
    <row r="18" spans="1:11" ht="29.25" customHeight="1">
      <c r="A18" s="66" t="s">
        <v>220</v>
      </c>
      <c r="B18" s="67">
        <v>1</v>
      </c>
      <c r="C18" s="68">
        <v>7249</v>
      </c>
      <c r="D18" s="69">
        <v>1</v>
      </c>
      <c r="E18" s="70">
        <f>C18*D18</f>
        <v>7249</v>
      </c>
      <c r="F18" s="65">
        <f>B18*E18</f>
        <v>7249</v>
      </c>
      <c r="G18" s="65">
        <v>5074.3</v>
      </c>
      <c r="H18" s="65">
        <v>5074.3</v>
      </c>
      <c r="I18" s="65">
        <v>1087.35</v>
      </c>
      <c r="J18" s="65">
        <v>10873.5</v>
      </c>
      <c r="K18" s="65">
        <f>F18+G18+H18+I18+J18</f>
        <v>29358.449999999997</v>
      </c>
    </row>
    <row r="19" spans="1:11" s="57" customFormat="1" ht="29.25" customHeight="1">
      <c r="A19" s="112" t="s">
        <v>214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s="57" customFormat="1" ht="29.25" customHeight="1">
      <c r="A20" s="61" t="s">
        <v>204</v>
      </c>
      <c r="B20" s="67"/>
      <c r="C20" s="68"/>
      <c r="D20" s="65"/>
      <c r="E20" s="65"/>
      <c r="F20" s="65"/>
      <c r="G20" s="65"/>
      <c r="H20" s="65"/>
      <c r="I20" s="65"/>
      <c r="J20" s="65"/>
      <c r="K20" s="65"/>
    </row>
    <row r="21" spans="1:11" s="57" customFormat="1" ht="13.5" customHeight="1">
      <c r="A21" s="66" t="s">
        <v>216</v>
      </c>
      <c r="B21" s="67">
        <v>6</v>
      </c>
      <c r="C21" s="68">
        <v>4694</v>
      </c>
      <c r="D21" s="69">
        <v>1</v>
      </c>
      <c r="E21" s="65">
        <f>C21*D21</f>
        <v>4694</v>
      </c>
      <c r="F21" s="65">
        <f>B21*E21</f>
        <v>28164</v>
      </c>
      <c r="G21" s="65"/>
      <c r="H21" s="65"/>
      <c r="I21" s="65"/>
      <c r="J21" s="65">
        <v>45036</v>
      </c>
      <c r="K21" s="65">
        <f>F21+G21+H21+J21</f>
        <v>73200</v>
      </c>
    </row>
    <row r="22" spans="1:11" s="57" customFormat="1" ht="33.75" customHeight="1">
      <c r="A22" s="112" t="s">
        <v>215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57" customFormat="1" ht="31.5" customHeight="1">
      <c r="A23" s="61" t="s">
        <v>204</v>
      </c>
      <c r="B23" s="71"/>
      <c r="C23" s="72"/>
      <c r="D23" s="72"/>
      <c r="E23" s="72"/>
      <c r="F23" s="72"/>
      <c r="G23" s="72"/>
      <c r="H23" s="72"/>
      <c r="I23" s="72"/>
      <c r="J23" s="72"/>
      <c r="K23" s="65"/>
    </row>
    <row r="24" spans="1:11" s="57" customFormat="1" ht="33" customHeight="1">
      <c r="A24" s="66" t="s">
        <v>221</v>
      </c>
      <c r="B24" s="73">
        <v>2</v>
      </c>
      <c r="C24" s="68">
        <v>4485</v>
      </c>
      <c r="D24" s="69">
        <v>1</v>
      </c>
      <c r="E24" s="65">
        <f>C24*D24</f>
        <v>4485</v>
      </c>
      <c r="F24" s="65">
        <f>B24*E24</f>
        <v>8970</v>
      </c>
      <c r="G24" s="65"/>
      <c r="H24" s="65"/>
      <c r="I24" s="65"/>
      <c r="J24" s="65">
        <v>15290</v>
      </c>
      <c r="K24" s="65">
        <f>F24+G24+H24+J24</f>
        <v>24260</v>
      </c>
    </row>
    <row r="25" spans="1:11" s="57" customFormat="1" ht="20.25" customHeight="1">
      <c r="A25" s="74" t="s">
        <v>23</v>
      </c>
      <c r="B25" s="75">
        <f>SUM(B18+B21+B24)</f>
        <v>9</v>
      </c>
      <c r="C25" s="76">
        <f aca="true" t="shared" si="0" ref="C25:K25">SUM(C18+C21+C24)</f>
        <v>16428</v>
      </c>
      <c r="D25" s="75"/>
      <c r="E25" s="76">
        <f t="shared" si="0"/>
        <v>16428</v>
      </c>
      <c r="F25" s="76">
        <f t="shared" si="0"/>
        <v>44383</v>
      </c>
      <c r="G25" s="76">
        <f t="shared" si="0"/>
        <v>5074.3</v>
      </c>
      <c r="H25" s="76">
        <f t="shared" si="0"/>
        <v>5074.3</v>
      </c>
      <c r="I25" s="76">
        <f t="shared" si="0"/>
        <v>1087.35</v>
      </c>
      <c r="J25" s="76">
        <f t="shared" si="0"/>
        <v>71199.5</v>
      </c>
      <c r="K25" s="76">
        <f t="shared" si="0"/>
        <v>126818.45</v>
      </c>
    </row>
    <row r="26" spans="1:11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5.75">
      <c r="A28" s="106" t="s">
        <v>228</v>
      </c>
      <c r="B28" s="106"/>
      <c r="C28" s="106"/>
      <c r="D28" s="106"/>
      <c r="E28" s="106"/>
      <c r="F28" s="106"/>
      <c r="G28" s="106"/>
      <c r="H28" s="106"/>
      <c r="I28" s="106"/>
      <c r="J28" s="57"/>
      <c r="K28" s="57"/>
    </row>
  </sheetData>
  <sheetProtection/>
  <mergeCells count="22">
    <mergeCell ref="A6:K6"/>
    <mergeCell ref="F11:F14"/>
    <mergeCell ref="D11:D14"/>
    <mergeCell ref="E11:E14"/>
    <mergeCell ref="G11:J11"/>
    <mergeCell ref="G12:G14"/>
    <mergeCell ref="H12:H14"/>
    <mergeCell ref="A28:I28"/>
    <mergeCell ref="A9:K9"/>
    <mergeCell ref="A8:K8"/>
    <mergeCell ref="I12:J13"/>
    <mergeCell ref="A7:K7"/>
    <mergeCell ref="G2:K2"/>
    <mergeCell ref="G3:K3"/>
    <mergeCell ref="G4:K4"/>
    <mergeCell ref="A22:K22"/>
    <mergeCell ref="A16:K16"/>
    <mergeCell ref="A19:K19"/>
    <mergeCell ref="A11:A14"/>
    <mergeCell ref="B11:B14"/>
    <mergeCell ref="K11:K14"/>
    <mergeCell ref="C11:C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Перминова_ВВ</cp:lastModifiedBy>
  <cp:lastPrinted>2021-01-19T05:38:13Z</cp:lastPrinted>
  <dcterms:created xsi:type="dcterms:W3CDTF">2008-02-13T05:55:59Z</dcterms:created>
  <dcterms:modified xsi:type="dcterms:W3CDTF">2021-01-19T05:38:56Z</dcterms:modified>
  <cp:category/>
  <cp:version/>
  <cp:contentType/>
  <cp:contentStatus/>
</cp:coreProperties>
</file>